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8850" yWindow="60" windowWidth="12165" windowHeight="8010" firstSheet="8" activeTab="15"/>
  </bookViews>
  <sheets>
    <sheet name="Баринова" sheetId="1" r:id="rId1"/>
    <sheet name="В Котика" sheetId="2" r:id="rId2"/>
    <sheet name="Западная" sheetId="6" r:id="rId3"/>
    <sheet name="Коммунистическая " sheetId="5" r:id="rId4"/>
    <sheet name="пер.Лихачева" sheetId="10" r:id="rId5"/>
    <sheet name="Лихачева" sheetId="9" r:id="rId6"/>
    <sheet name="максимова" sheetId="8" r:id="rId7"/>
    <sheet name="махалова" sheetId="7" r:id="rId8"/>
    <sheet name="маяковского" sheetId="11" r:id="rId9"/>
    <sheet name="Мира" sheetId="12" r:id="rId10"/>
    <sheet name="прибрежный" sheetId="14" r:id="rId11"/>
    <sheet name="чугунова" sheetId="13" r:id="rId12"/>
    <sheet name="энгельса" sheetId="4" r:id="rId13"/>
    <sheet name="Задолье" sheetId="3" r:id="rId14"/>
    <sheet name="сосновая" sheetId="15" r:id="rId15"/>
    <sheet name="подлужный" sheetId="16" r:id="rId16"/>
    <sheet name="Вокзальная" sheetId="21" r:id="rId17"/>
    <sheet name="новостройка" sheetId="20" r:id="rId18"/>
    <sheet name="октябрьская" sheetId="19" r:id="rId19"/>
    <sheet name="приречный" sheetId="17" r:id="rId20"/>
    <sheet name="садовая" sheetId="18" r:id="rId21"/>
    <sheet name="тер. Киселих. госпиталя" sheetId="22" r:id="rId22"/>
    <sheet name="1-участок Ситники" sheetId="23" r:id="rId23"/>
    <sheet name="п.Жел. Центральная" sheetId="24" r:id="rId24"/>
    <sheet name="п.Сит. Центравльная" sheetId="25" r:id="rId25"/>
    <sheet name="Лист1" sheetId="26" r:id="rId26"/>
  </sheets>
  <calcPr calcId="152511"/>
</workbook>
</file>

<file path=xl/calcChain.xml><?xml version="1.0" encoding="utf-8"?>
<calcChain xmlns="http://schemas.openxmlformats.org/spreadsheetml/2006/main">
  <c r="F63" i="1" l="1"/>
  <c r="F353" i="6" l="1"/>
  <c r="F354" i="6"/>
  <c r="F355" i="6"/>
  <c r="F356" i="6"/>
  <c r="F357" i="6"/>
  <c r="F358" i="6"/>
  <c r="F359" i="6"/>
  <c r="F360" i="6"/>
  <c r="F361" i="6"/>
  <c r="F362" i="6"/>
  <c r="F363" i="6"/>
  <c r="F364" i="6"/>
  <c r="F156" i="14" l="1"/>
  <c r="F157" i="14"/>
  <c r="F158" i="14"/>
  <c r="F159" i="14"/>
  <c r="F160" i="14"/>
  <c r="F161" i="14"/>
  <c r="F162" i="14"/>
  <c r="F163" i="14"/>
  <c r="F164" i="14"/>
  <c r="F165" i="14"/>
  <c r="F166" i="14"/>
  <c r="F167" i="14"/>
  <c r="F22" i="16"/>
  <c r="F23" i="16"/>
  <c r="F24" i="16"/>
  <c r="F25" i="16"/>
  <c r="F26" i="16"/>
  <c r="F27" i="16"/>
  <c r="F28" i="16"/>
  <c r="F29" i="16"/>
  <c r="F30" i="16"/>
  <c r="F31" i="16"/>
  <c r="F32" i="16"/>
  <c r="F33" i="16"/>
  <c r="F310" i="6"/>
  <c r="F311" i="6"/>
  <c r="F312" i="6"/>
  <c r="F313" i="6"/>
  <c r="F314" i="6"/>
  <c r="F315" i="6"/>
  <c r="F316" i="6"/>
  <c r="F317" i="6"/>
  <c r="F318" i="6"/>
  <c r="F319" i="6"/>
  <c r="F320" i="6"/>
  <c r="F321" i="6"/>
  <c r="F269" i="6"/>
  <c r="F270" i="6"/>
  <c r="F271" i="6"/>
  <c r="F272" i="6"/>
  <c r="F273" i="6"/>
  <c r="F274" i="6"/>
  <c r="F275" i="6"/>
  <c r="F276" i="6"/>
  <c r="F277" i="6"/>
  <c r="F278" i="6"/>
  <c r="F279" i="6"/>
  <c r="F280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1" i="16" l="1"/>
  <c r="F22" i="15"/>
  <c r="F23" i="15"/>
  <c r="F24" i="15"/>
  <c r="F25" i="15"/>
  <c r="F26" i="15"/>
  <c r="F27" i="15"/>
  <c r="F28" i="15"/>
  <c r="F29" i="15"/>
  <c r="F30" i="15"/>
  <c r="F31" i="15"/>
  <c r="F32" i="15"/>
  <c r="F33" i="15"/>
  <c r="F21" i="15"/>
  <c r="F21" i="3"/>
  <c r="F22" i="3"/>
  <c r="F23" i="3"/>
  <c r="F24" i="3"/>
  <c r="F25" i="3"/>
  <c r="F26" i="3"/>
  <c r="F27" i="3"/>
  <c r="F28" i="3"/>
  <c r="F29" i="3"/>
  <c r="F30" i="3"/>
  <c r="F31" i="3"/>
  <c r="F32" i="3"/>
  <c r="F20" i="3"/>
  <c r="F24" i="4"/>
  <c r="F25" i="4"/>
  <c r="F26" i="4"/>
  <c r="F27" i="4"/>
  <c r="F28" i="4"/>
  <c r="F29" i="4"/>
  <c r="F30" i="4"/>
  <c r="F31" i="4"/>
  <c r="F32" i="4"/>
  <c r="F33" i="4"/>
  <c r="F34" i="4"/>
  <c r="F35" i="4"/>
  <c r="F23" i="4"/>
  <c r="F580" i="13"/>
  <c r="F581" i="13"/>
  <c r="F582" i="13"/>
  <c r="F583" i="13"/>
  <c r="F584" i="13"/>
  <c r="F585" i="13"/>
  <c r="F586" i="13"/>
  <c r="F587" i="13"/>
  <c r="F588" i="13"/>
  <c r="F589" i="13"/>
  <c r="F590" i="13"/>
  <c r="F579" i="13"/>
  <c r="F537" i="13"/>
  <c r="F539" i="13"/>
  <c r="F540" i="13"/>
  <c r="F541" i="13"/>
  <c r="F542" i="13"/>
  <c r="F543" i="13"/>
  <c r="F544" i="13"/>
  <c r="F545" i="13"/>
  <c r="F546" i="13"/>
  <c r="F547" i="13"/>
  <c r="F548" i="13"/>
  <c r="F536" i="13"/>
  <c r="F494" i="13"/>
  <c r="F495" i="13"/>
  <c r="F496" i="13"/>
  <c r="F497" i="13"/>
  <c r="F498" i="13"/>
  <c r="F499" i="13"/>
  <c r="F500" i="13"/>
  <c r="F501" i="13"/>
  <c r="F502" i="13"/>
  <c r="F503" i="13"/>
  <c r="F504" i="13"/>
  <c r="F505" i="13"/>
  <c r="F451" i="13"/>
  <c r="F452" i="13"/>
  <c r="F453" i="13"/>
  <c r="F454" i="13"/>
  <c r="F455" i="13"/>
  <c r="F456" i="13"/>
  <c r="F457" i="13"/>
  <c r="F458" i="13"/>
  <c r="F459" i="13"/>
  <c r="F460" i="13"/>
  <c r="F461" i="13"/>
  <c r="F462" i="13"/>
  <c r="F450" i="13"/>
  <c r="F409" i="13"/>
  <c r="F410" i="13"/>
  <c r="F411" i="13"/>
  <c r="F412" i="13"/>
  <c r="F414" i="13"/>
  <c r="F415" i="13"/>
  <c r="F416" i="13"/>
  <c r="F417" i="13"/>
  <c r="F418" i="13"/>
  <c r="F419" i="13"/>
  <c r="F408" i="13"/>
  <c r="F366" i="13"/>
  <c r="F367" i="13"/>
  <c r="F368" i="13"/>
  <c r="F369" i="13"/>
  <c r="F370" i="13"/>
  <c r="F371" i="13"/>
  <c r="F372" i="13"/>
  <c r="F374" i="13"/>
  <c r="F375" i="13"/>
  <c r="F376" i="13"/>
  <c r="F377" i="13"/>
  <c r="F365" i="13"/>
  <c r="F323" i="13"/>
  <c r="F324" i="13"/>
  <c r="F325" i="13"/>
  <c r="F326" i="13"/>
  <c r="F327" i="13"/>
  <c r="F328" i="13"/>
  <c r="F329" i="13"/>
  <c r="F330" i="13"/>
  <c r="F331" i="13"/>
  <c r="F332" i="13"/>
  <c r="F333" i="13"/>
  <c r="F334" i="13"/>
  <c r="F322" i="13"/>
  <c r="F280" i="13"/>
  <c r="F281" i="13"/>
  <c r="F282" i="13"/>
  <c r="F283" i="13"/>
  <c r="F284" i="13"/>
  <c r="F285" i="13"/>
  <c r="F286" i="13"/>
  <c r="F287" i="13"/>
  <c r="F288" i="13"/>
  <c r="F289" i="13"/>
  <c r="F290" i="13"/>
  <c r="F291" i="13"/>
  <c r="F279" i="13"/>
  <c r="F238" i="13"/>
  <c r="F239" i="13"/>
  <c r="F240" i="13"/>
  <c r="F241" i="13"/>
  <c r="F242" i="13"/>
  <c r="F243" i="13"/>
  <c r="F244" i="13"/>
  <c r="F245" i="13"/>
  <c r="F246" i="13"/>
  <c r="F247" i="13"/>
  <c r="F248" i="13"/>
  <c r="F236" i="13"/>
  <c r="F194" i="13"/>
  <c r="F195" i="13"/>
  <c r="F196" i="13"/>
  <c r="F197" i="13"/>
  <c r="F198" i="13"/>
  <c r="F199" i="13"/>
  <c r="F200" i="13"/>
  <c r="F201" i="13"/>
  <c r="F202" i="13"/>
  <c r="F203" i="13"/>
  <c r="F204" i="13"/>
  <c r="F205" i="13"/>
  <c r="F193" i="13"/>
  <c r="F153" i="13"/>
  <c r="F154" i="13"/>
  <c r="F155" i="13"/>
  <c r="F156" i="13"/>
  <c r="F157" i="13"/>
  <c r="F158" i="13"/>
  <c r="F159" i="13"/>
  <c r="F160" i="13"/>
  <c r="F161" i="13"/>
  <c r="F162" i="13"/>
  <c r="F163" i="13"/>
  <c r="F151" i="13"/>
  <c r="F110" i="13"/>
  <c r="F111" i="13"/>
  <c r="F112" i="13"/>
  <c r="F113" i="13"/>
  <c r="F114" i="13"/>
  <c r="F115" i="13"/>
  <c r="F116" i="13"/>
  <c r="F117" i="13"/>
  <c r="F118" i="13"/>
  <c r="F119" i="13"/>
  <c r="F120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65" i="13"/>
  <c r="F25" i="13"/>
  <c r="F26" i="13"/>
  <c r="F27" i="13"/>
  <c r="F28" i="13"/>
  <c r="F29" i="13"/>
  <c r="F30" i="13"/>
  <c r="F31" i="13"/>
  <c r="F32" i="13"/>
  <c r="F33" i="13"/>
  <c r="F34" i="13"/>
  <c r="F35" i="13"/>
  <c r="F23" i="13"/>
  <c r="F113" i="14"/>
  <c r="F114" i="14"/>
  <c r="F115" i="14"/>
  <c r="F116" i="14"/>
  <c r="F118" i="14"/>
  <c r="F119" i="14"/>
  <c r="F120" i="14"/>
  <c r="F121" i="14"/>
  <c r="F122" i="14"/>
  <c r="F123" i="14"/>
  <c r="F124" i="14"/>
  <c r="F112" i="14"/>
  <c r="F79" i="14"/>
  <c r="F71" i="14"/>
  <c r="F72" i="14"/>
  <c r="F73" i="14"/>
  <c r="F74" i="14"/>
  <c r="F76" i="14"/>
  <c r="F77" i="14"/>
  <c r="F78" i="14"/>
  <c r="F80" i="14"/>
  <c r="F81" i="14"/>
  <c r="F69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1190" i="12" l="1"/>
  <c r="F1191" i="12"/>
  <c r="F1192" i="12"/>
  <c r="F1193" i="12"/>
  <c r="F1194" i="12"/>
  <c r="F1195" i="12"/>
  <c r="F1196" i="12"/>
  <c r="F1197" i="12"/>
  <c r="F1198" i="12"/>
  <c r="F1199" i="12"/>
  <c r="F1200" i="12"/>
  <c r="F1201" i="12"/>
  <c r="F1189" i="12"/>
  <c r="F1147" i="12"/>
  <c r="F1148" i="12"/>
  <c r="F1149" i="12"/>
  <c r="F1150" i="12"/>
  <c r="F1151" i="12"/>
  <c r="F1152" i="12"/>
  <c r="F1153" i="12"/>
  <c r="F1154" i="12"/>
  <c r="F1155" i="12"/>
  <c r="F1156" i="12"/>
  <c r="F1157" i="12"/>
  <c r="F1158" i="12"/>
  <c r="F1146" i="12"/>
  <c r="F1105" i="12"/>
  <c r="F1106" i="12"/>
  <c r="F1107" i="12"/>
  <c r="F1108" i="12"/>
  <c r="F1109" i="12"/>
  <c r="F1110" i="12"/>
  <c r="F1111" i="12"/>
  <c r="F1112" i="12"/>
  <c r="F1113" i="12"/>
  <c r="F1114" i="12"/>
  <c r="F1115" i="12"/>
  <c r="F1104" i="12"/>
  <c r="F1064" i="12"/>
  <c r="F1065" i="12"/>
  <c r="F1066" i="12"/>
  <c r="F1067" i="12"/>
  <c r="F1068" i="12"/>
  <c r="F1069" i="12"/>
  <c r="F1070" i="12"/>
  <c r="F1071" i="12"/>
  <c r="F1072" i="12"/>
  <c r="F1073" i="12"/>
  <c r="F1074" i="12"/>
  <c r="F1075" i="12"/>
  <c r="F1063" i="12"/>
  <c r="F1023" i="12"/>
  <c r="F1024" i="12"/>
  <c r="F1025" i="12"/>
  <c r="F1026" i="12"/>
  <c r="F1027" i="12"/>
  <c r="F1028" i="12"/>
  <c r="F1029" i="12"/>
  <c r="F1030" i="12"/>
  <c r="F1031" i="12"/>
  <c r="F1032" i="12"/>
  <c r="F1033" i="12"/>
  <c r="F1034" i="12"/>
  <c r="F1022" i="12"/>
  <c r="F982" i="12"/>
  <c r="F983" i="12"/>
  <c r="F984" i="12"/>
  <c r="F985" i="12"/>
  <c r="F986" i="12"/>
  <c r="F987" i="12"/>
  <c r="F988" i="12"/>
  <c r="F989" i="12"/>
  <c r="F990" i="12"/>
  <c r="F991" i="12"/>
  <c r="F992" i="12"/>
  <c r="F993" i="12"/>
  <c r="F981" i="12"/>
  <c r="F941" i="12"/>
  <c r="F942" i="12"/>
  <c r="F943" i="12"/>
  <c r="F944" i="12"/>
  <c r="F945" i="12"/>
  <c r="F946" i="12"/>
  <c r="F947" i="12"/>
  <c r="F948" i="12"/>
  <c r="F949" i="12"/>
  <c r="F950" i="12"/>
  <c r="F951" i="12"/>
  <c r="F940" i="12"/>
  <c r="F900" i="12"/>
  <c r="F901" i="12"/>
  <c r="F902" i="12"/>
  <c r="F903" i="12"/>
  <c r="F904" i="12"/>
  <c r="F905" i="12"/>
  <c r="F906" i="12"/>
  <c r="F907" i="12"/>
  <c r="F908" i="12"/>
  <c r="F909" i="12"/>
  <c r="F910" i="12"/>
  <c r="F911" i="12"/>
  <c r="F899" i="12"/>
  <c r="F859" i="12"/>
  <c r="F860" i="12"/>
  <c r="F861" i="12"/>
  <c r="F862" i="12"/>
  <c r="F863" i="12"/>
  <c r="F864" i="12"/>
  <c r="F865" i="12"/>
  <c r="F866" i="12"/>
  <c r="F867" i="12"/>
  <c r="F868" i="12"/>
  <c r="F869" i="12"/>
  <c r="F870" i="12"/>
  <c r="F858" i="12"/>
  <c r="F818" i="12"/>
  <c r="F819" i="12"/>
  <c r="F820" i="12"/>
  <c r="F821" i="12"/>
  <c r="F822" i="12"/>
  <c r="F823" i="12"/>
  <c r="F824" i="12"/>
  <c r="F825" i="12"/>
  <c r="F826" i="12"/>
  <c r="F827" i="12"/>
  <c r="F828" i="12"/>
  <c r="F829" i="12"/>
  <c r="F817" i="12"/>
  <c r="F777" i="12"/>
  <c r="F778" i="12"/>
  <c r="F779" i="12"/>
  <c r="F780" i="12"/>
  <c r="F781" i="12"/>
  <c r="F782" i="12"/>
  <c r="F783" i="12"/>
  <c r="F784" i="12"/>
  <c r="F785" i="12"/>
  <c r="F786" i="12"/>
  <c r="F787" i="12"/>
  <c r="F788" i="12"/>
  <c r="F776" i="12"/>
  <c r="F736" i="12"/>
  <c r="F737" i="12"/>
  <c r="F738" i="12"/>
  <c r="F739" i="12"/>
  <c r="F740" i="12"/>
  <c r="F741" i="12"/>
  <c r="F742" i="12"/>
  <c r="F743" i="12"/>
  <c r="F744" i="12"/>
  <c r="F745" i="12"/>
  <c r="F746" i="12"/>
  <c r="F747" i="12"/>
  <c r="F735" i="12"/>
  <c r="F695" i="12"/>
  <c r="F696" i="12"/>
  <c r="F697" i="12"/>
  <c r="F698" i="12"/>
  <c r="F699" i="12"/>
  <c r="F700" i="12"/>
  <c r="F701" i="12"/>
  <c r="F702" i="12"/>
  <c r="F703" i="12"/>
  <c r="F704" i="12"/>
  <c r="F705" i="12"/>
  <c r="F694" i="12"/>
  <c r="F654" i="12" l="1"/>
  <c r="F655" i="12"/>
  <c r="F656" i="12"/>
  <c r="F657" i="12"/>
  <c r="F658" i="12"/>
  <c r="F659" i="12"/>
  <c r="F660" i="12"/>
  <c r="F661" i="12"/>
  <c r="F662" i="12"/>
  <c r="F663" i="12"/>
  <c r="F664" i="12"/>
  <c r="F665" i="12"/>
  <c r="F653" i="12"/>
  <c r="F611" i="12"/>
  <c r="F612" i="12"/>
  <c r="F613" i="12"/>
  <c r="F614" i="12"/>
  <c r="F615" i="12"/>
  <c r="F616" i="12"/>
  <c r="F617" i="12"/>
  <c r="F618" i="12"/>
  <c r="F619" i="12"/>
  <c r="F620" i="12"/>
  <c r="F621" i="12"/>
  <c r="F622" i="12"/>
  <c r="F610" i="12"/>
  <c r="F569" i="12"/>
  <c r="F570" i="12"/>
  <c r="F571" i="12"/>
  <c r="F572" i="12"/>
  <c r="F573" i="12"/>
  <c r="F574" i="12"/>
  <c r="F575" i="12"/>
  <c r="F576" i="12"/>
  <c r="F577" i="12"/>
  <c r="F578" i="12"/>
  <c r="F579" i="12"/>
  <c r="F580" i="12"/>
  <c r="F568" i="12"/>
  <c r="F529" i="12"/>
  <c r="F530" i="12"/>
  <c r="F531" i="12"/>
  <c r="F532" i="12"/>
  <c r="F533" i="12"/>
  <c r="F534" i="12"/>
  <c r="F535" i="12"/>
  <c r="F536" i="12"/>
  <c r="F537" i="12"/>
  <c r="F538" i="12"/>
  <c r="F528" i="12"/>
  <c r="F485" i="12"/>
  <c r="F486" i="12"/>
  <c r="F487" i="12"/>
  <c r="F488" i="12"/>
  <c r="F489" i="12"/>
  <c r="F490" i="12"/>
  <c r="F491" i="12"/>
  <c r="F492" i="12"/>
  <c r="F493" i="12"/>
  <c r="F494" i="12"/>
  <c r="F495" i="12"/>
  <c r="F496" i="12"/>
  <c r="F497" i="12"/>
  <c r="F498" i="12"/>
  <c r="F484" i="12"/>
  <c r="F443" i="12"/>
  <c r="F444" i="12"/>
  <c r="F445" i="12"/>
  <c r="F446" i="12"/>
  <c r="F447" i="12"/>
  <c r="F448" i="12"/>
  <c r="F449" i="12"/>
  <c r="F450" i="12"/>
  <c r="F451" i="12"/>
  <c r="F452" i="12"/>
  <c r="F453" i="12"/>
  <c r="F454" i="12"/>
  <c r="F442" i="12"/>
  <c r="F402" i="12"/>
  <c r="F403" i="12"/>
  <c r="F404" i="12"/>
  <c r="F405" i="12"/>
  <c r="F406" i="12"/>
  <c r="F407" i="12"/>
  <c r="F408" i="12"/>
  <c r="F409" i="12"/>
  <c r="F410" i="12"/>
  <c r="F411" i="12"/>
  <c r="F412" i="12"/>
  <c r="F401" i="12"/>
  <c r="F360" i="12"/>
  <c r="F361" i="12"/>
  <c r="F362" i="12"/>
  <c r="F363" i="12"/>
  <c r="F364" i="12"/>
  <c r="F365" i="12"/>
  <c r="F366" i="12"/>
  <c r="F367" i="12"/>
  <c r="F368" i="12"/>
  <c r="F369" i="12"/>
  <c r="F370" i="12"/>
  <c r="F371" i="12"/>
  <c r="F359" i="12"/>
  <c r="F318" i="12"/>
  <c r="F319" i="12"/>
  <c r="F320" i="12"/>
  <c r="F321" i="12"/>
  <c r="F322" i="12"/>
  <c r="F323" i="12"/>
  <c r="F324" i="12"/>
  <c r="F325" i="12"/>
  <c r="F326" i="12"/>
  <c r="F327" i="12"/>
  <c r="F328" i="12"/>
  <c r="F329" i="12"/>
  <c r="F317" i="12"/>
  <c r="F276" i="12"/>
  <c r="F277" i="12"/>
  <c r="F278" i="12"/>
  <c r="F279" i="12"/>
  <c r="F280" i="12"/>
  <c r="F281" i="12"/>
  <c r="F282" i="12"/>
  <c r="F283" i="12"/>
  <c r="F284" i="12"/>
  <c r="F285" i="12"/>
  <c r="F286" i="12"/>
  <c r="F287" i="12"/>
  <c r="F275" i="12"/>
  <c r="F234" i="12"/>
  <c r="F235" i="12"/>
  <c r="F236" i="12"/>
  <c r="F237" i="12"/>
  <c r="F238" i="12"/>
  <c r="F239" i="12"/>
  <c r="F240" i="12"/>
  <c r="F241" i="12"/>
  <c r="F242" i="12"/>
  <c r="F243" i="12"/>
  <c r="F244" i="12"/>
  <c r="F245" i="12"/>
  <c r="F233" i="12"/>
  <c r="F192" i="12"/>
  <c r="F193" i="12"/>
  <c r="F194" i="12"/>
  <c r="F196" i="12"/>
  <c r="F197" i="12"/>
  <c r="F198" i="12"/>
  <c r="F199" i="12"/>
  <c r="F200" i="12"/>
  <c r="F201" i="12"/>
  <c r="F202" i="12"/>
  <c r="F203" i="12"/>
  <c r="F191" i="12"/>
  <c r="F150" i="12"/>
  <c r="F151" i="12"/>
  <c r="F152" i="12"/>
  <c r="F153" i="12"/>
  <c r="F154" i="12"/>
  <c r="F155" i="12"/>
  <c r="F156" i="12"/>
  <c r="F157" i="12"/>
  <c r="F158" i="12"/>
  <c r="F159" i="12"/>
  <c r="F160" i="12"/>
  <c r="F161" i="12"/>
  <c r="F149" i="12"/>
  <c r="F108" i="12"/>
  <c r="F109" i="12"/>
  <c r="F110" i="12"/>
  <c r="F111" i="12"/>
  <c r="F112" i="12"/>
  <c r="F113" i="12"/>
  <c r="F114" i="12"/>
  <c r="F115" i="12"/>
  <c r="F116" i="12"/>
  <c r="F117" i="12"/>
  <c r="F118" i="12"/>
  <c r="F119" i="12"/>
  <c r="F107" i="12"/>
  <c r="F66" i="12"/>
  <c r="F67" i="12"/>
  <c r="F68" i="12"/>
  <c r="F69" i="12"/>
  <c r="F70" i="12"/>
  <c r="F71" i="12"/>
  <c r="F72" i="12"/>
  <c r="F73" i="12"/>
  <c r="F74" i="12"/>
  <c r="F75" i="12"/>
  <c r="F76" i="12"/>
  <c r="F77" i="12"/>
  <c r="F65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23" i="12"/>
  <c r="F237" i="11"/>
  <c r="F238" i="11"/>
  <c r="F239" i="11"/>
  <c r="F240" i="11"/>
  <c r="F241" i="11"/>
  <c r="F242" i="11"/>
  <c r="F243" i="11"/>
  <c r="F244" i="11"/>
  <c r="F245" i="11"/>
  <c r="F246" i="11"/>
  <c r="F247" i="11"/>
  <c r="F248" i="11"/>
  <c r="F236" i="11"/>
  <c r="F194" i="11"/>
  <c r="F195" i="11"/>
  <c r="F196" i="11"/>
  <c r="F197" i="11"/>
  <c r="F198" i="11"/>
  <c r="F199" i="11"/>
  <c r="F200" i="11"/>
  <c r="F201" i="11"/>
  <c r="F202" i="11"/>
  <c r="F203" i="11"/>
  <c r="F204" i="11"/>
  <c r="F205" i="11"/>
  <c r="F193" i="11"/>
  <c r="F151" i="11"/>
  <c r="F152" i="11"/>
  <c r="F153" i="11"/>
  <c r="F154" i="11"/>
  <c r="F155" i="11"/>
  <c r="F156" i="11"/>
  <c r="F157" i="11"/>
  <c r="F158" i="11"/>
  <c r="F159" i="11"/>
  <c r="F160" i="11"/>
  <c r="F161" i="11"/>
  <c r="F162" i="11"/>
  <c r="F150" i="11"/>
  <c r="F109" i="11"/>
  <c r="F110" i="11"/>
  <c r="F111" i="11"/>
  <c r="F112" i="11"/>
  <c r="F113" i="11"/>
  <c r="F114" i="11"/>
  <c r="F115" i="11"/>
  <c r="F116" i="11"/>
  <c r="F117" i="11"/>
  <c r="F118" i="11"/>
  <c r="F119" i="11"/>
  <c r="F120" i="11"/>
  <c r="F108" i="11"/>
  <c r="F67" i="11"/>
  <c r="F68" i="11"/>
  <c r="F69" i="11"/>
  <c r="F70" i="11"/>
  <c r="F71" i="11"/>
  <c r="F72" i="11"/>
  <c r="F73" i="11"/>
  <c r="F74" i="11"/>
  <c r="F75" i="11"/>
  <c r="F76" i="11"/>
  <c r="F77" i="11"/>
  <c r="F78" i="11"/>
  <c r="F66" i="11"/>
  <c r="F25" i="11"/>
  <c r="F26" i="11"/>
  <c r="F28" i="11"/>
  <c r="F29" i="11"/>
  <c r="F30" i="11"/>
  <c r="F31" i="11"/>
  <c r="F32" i="11"/>
  <c r="F33" i="11"/>
  <c r="F34" i="11"/>
  <c r="F35" i="11"/>
  <c r="F36" i="11"/>
  <c r="F24" i="11"/>
  <c r="F1206" i="7"/>
  <c r="F1207" i="7"/>
  <c r="F1208" i="7"/>
  <c r="F1209" i="7"/>
  <c r="F1210" i="7"/>
  <c r="F1211" i="7"/>
  <c r="F1212" i="7"/>
  <c r="F1213" i="7"/>
  <c r="F1214" i="7"/>
  <c r="F1215" i="7"/>
  <c r="F1216" i="7"/>
  <c r="F1217" i="7"/>
  <c r="F1205" i="7"/>
  <c r="F1163" i="7"/>
  <c r="F1164" i="7"/>
  <c r="F1165" i="7"/>
  <c r="F1166" i="7"/>
  <c r="F1167" i="7"/>
  <c r="F1168" i="7"/>
  <c r="F1169" i="7"/>
  <c r="F1170" i="7"/>
  <c r="F1171" i="7"/>
  <c r="F1172" i="7"/>
  <c r="F1173" i="7"/>
  <c r="F1174" i="7"/>
  <c r="F1162" i="7"/>
  <c r="F1120" i="7"/>
  <c r="F1121" i="7"/>
  <c r="F1122" i="7"/>
  <c r="F1123" i="7"/>
  <c r="F1124" i="7"/>
  <c r="F1125" i="7"/>
  <c r="F1126" i="7"/>
  <c r="F1127" i="7"/>
  <c r="F1128" i="7"/>
  <c r="F1129" i="7"/>
  <c r="F1130" i="7"/>
  <c r="F1131" i="7"/>
  <c r="F1119" i="7"/>
  <c r="F1077" i="7"/>
  <c r="F1078" i="7"/>
  <c r="F1079" i="7"/>
  <c r="F1080" i="7"/>
  <c r="F1081" i="7"/>
  <c r="F1082" i="7"/>
  <c r="F1083" i="7"/>
  <c r="F1084" i="7"/>
  <c r="F1085" i="7"/>
  <c r="F1086" i="7"/>
  <c r="F1087" i="7"/>
  <c r="F1088" i="7"/>
  <c r="F1076" i="7"/>
  <c r="F1034" i="7"/>
  <c r="F1035" i="7"/>
  <c r="F1036" i="7"/>
  <c r="F1037" i="7"/>
  <c r="F1038" i="7"/>
  <c r="F1039" i="7"/>
  <c r="F1040" i="7"/>
  <c r="F1041" i="7"/>
  <c r="F1042" i="7"/>
  <c r="F1043" i="7"/>
  <c r="F1044" i="7"/>
  <c r="F1045" i="7"/>
  <c r="F1033" i="7"/>
  <c r="F991" i="7"/>
  <c r="F992" i="7"/>
  <c r="F993" i="7"/>
  <c r="F994" i="7"/>
  <c r="F995" i="7"/>
  <c r="F996" i="7"/>
  <c r="F997" i="7"/>
  <c r="F998" i="7"/>
  <c r="F999" i="7"/>
  <c r="F1000" i="7"/>
  <c r="F1001" i="7"/>
  <c r="F1002" i="7"/>
  <c r="F990" i="7"/>
  <c r="F948" i="7"/>
  <c r="F950" i="7"/>
  <c r="F951" i="7"/>
  <c r="F952" i="7"/>
  <c r="F953" i="7"/>
  <c r="F954" i="7"/>
  <c r="F955" i="7"/>
  <c r="F956" i="7"/>
  <c r="F957" i="7"/>
  <c r="F958" i="7"/>
  <c r="F959" i="7"/>
  <c r="F947" i="7"/>
  <c r="F905" i="7"/>
  <c r="F908" i="7"/>
  <c r="F909" i="7"/>
  <c r="F910" i="7"/>
  <c r="F911" i="7"/>
  <c r="F912" i="7"/>
  <c r="F913" i="7"/>
  <c r="F914" i="7"/>
  <c r="F915" i="7"/>
  <c r="F916" i="7"/>
  <c r="F862" i="7"/>
  <c r="F863" i="7"/>
  <c r="F866" i="7"/>
  <c r="F867" i="7"/>
  <c r="F868" i="7"/>
  <c r="F869" i="7"/>
  <c r="F870" i="7"/>
  <c r="F871" i="7"/>
  <c r="F872" i="7"/>
  <c r="F861" i="7"/>
  <c r="F819" i="7"/>
  <c r="F820" i="7"/>
  <c r="F821" i="7"/>
  <c r="F822" i="7"/>
  <c r="F823" i="7"/>
  <c r="F824" i="7"/>
  <c r="F825" i="7"/>
  <c r="F826" i="7"/>
  <c r="F827" i="7"/>
  <c r="F828" i="7"/>
  <c r="F829" i="7"/>
  <c r="F830" i="7"/>
  <c r="F818" i="7"/>
  <c r="F776" i="7"/>
  <c r="F777" i="7"/>
  <c r="F778" i="7"/>
  <c r="F779" i="7"/>
  <c r="F780" i="7"/>
  <c r="F782" i="7"/>
  <c r="F783" i="7"/>
  <c r="F784" i="7"/>
  <c r="F785" i="7"/>
  <c r="F786" i="7"/>
  <c r="F787" i="7"/>
  <c r="F775" i="7"/>
  <c r="F736" i="7"/>
  <c r="F737" i="7"/>
  <c r="F738" i="7"/>
  <c r="F739" i="7"/>
  <c r="F740" i="7"/>
  <c r="F741" i="7"/>
  <c r="F742" i="7"/>
  <c r="F743" i="7"/>
  <c r="F744" i="7"/>
  <c r="F745" i="7"/>
  <c r="F746" i="7"/>
  <c r="F734" i="7"/>
  <c r="F692" i="7"/>
  <c r="F693" i="7"/>
  <c r="F694" i="7"/>
  <c r="F695" i="7"/>
  <c r="F696" i="7"/>
  <c r="F697" i="7"/>
  <c r="F698" i="7"/>
  <c r="F699" i="7"/>
  <c r="F700" i="7"/>
  <c r="F701" i="7"/>
  <c r="F702" i="7"/>
  <c r="F703" i="7"/>
  <c r="F651" i="7"/>
  <c r="F652" i="7"/>
  <c r="F653" i="7"/>
  <c r="F654" i="7"/>
  <c r="F655" i="7"/>
  <c r="F656" i="7"/>
  <c r="F657" i="7"/>
  <c r="F658" i="7"/>
  <c r="F659" i="7"/>
  <c r="F660" i="7"/>
  <c r="F661" i="7"/>
  <c r="F662" i="7"/>
  <c r="F650" i="7"/>
  <c r="F611" i="7"/>
  <c r="F612" i="7"/>
  <c r="F613" i="7"/>
  <c r="F614" i="7"/>
  <c r="F615" i="7"/>
  <c r="F616" i="7"/>
  <c r="F617" i="7"/>
  <c r="F618" i="7"/>
  <c r="F619" i="7"/>
  <c r="F620" i="7"/>
  <c r="F621" i="7"/>
  <c r="F610" i="7"/>
  <c r="F570" i="7"/>
  <c r="F571" i="7"/>
  <c r="F572" i="7"/>
  <c r="F573" i="7"/>
  <c r="F574" i="7"/>
  <c r="F575" i="7"/>
  <c r="F576" i="7"/>
  <c r="F577" i="7"/>
  <c r="F578" i="7"/>
  <c r="F579" i="7"/>
  <c r="F580" i="7"/>
  <c r="F581" i="7"/>
  <c r="F569" i="7"/>
  <c r="F529" i="7"/>
  <c r="F530" i="7"/>
  <c r="F531" i="7"/>
  <c r="F532" i="7"/>
  <c r="F533" i="7"/>
  <c r="F534" i="7"/>
  <c r="F535" i="7"/>
  <c r="F536" i="7"/>
  <c r="F537" i="7"/>
  <c r="F538" i="7"/>
  <c r="F539" i="7"/>
  <c r="F540" i="7"/>
  <c r="F528" i="7"/>
  <c r="F488" i="7"/>
  <c r="F489" i="7"/>
  <c r="F490" i="7"/>
  <c r="F491" i="7"/>
  <c r="F492" i="7"/>
  <c r="F493" i="7"/>
  <c r="F494" i="7"/>
  <c r="F495" i="7"/>
  <c r="F496" i="7"/>
  <c r="F497" i="7"/>
  <c r="F498" i="7"/>
  <c r="F499" i="7"/>
  <c r="F487" i="7"/>
  <c r="F446" i="7"/>
  <c r="F447" i="7"/>
  <c r="F448" i="7"/>
  <c r="F449" i="7"/>
  <c r="F450" i="7"/>
  <c r="F451" i="7"/>
  <c r="F452" i="7"/>
  <c r="F453" i="7"/>
  <c r="F454" i="7"/>
  <c r="F455" i="7"/>
  <c r="F456" i="7"/>
  <c r="F445" i="7"/>
  <c r="F404" i="7"/>
  <c r="F405" i="7"/>
  <c r="F406" i="7"/>
  <c r="F407" i="7"/>
  <c r="F408" i="7"/>
  <c r="F409" i="7"/>
  <c r="F410" i="7"/>
  <c r="F411" i="7"/>
  <c r="F412" i="7"/>
  <c r="F413" i="7"/>
  <c r="F414" i="7"/>
  <c r="F415" i="7"/>
  <c r="F403" i="7"/>
  <c r="F362" i="7"/>
  <c r="F363" i="7"/>
  <c r="F365" i="7"/>
  <c r="F366" i="7"/>
  <c r="F367" i="7"/>
  <c r="F368" i="7"/>
  <c r="F369" i="7"/>
  <c r="F370" i="7"/>
  <c r="F371" i="7"/>
  <c r="F372" i="7"/>
  <c r="F373" i="7"/>
  <c r="F361" i="7"/>
  <c r="F320" i="7"/>
  <c r="F321" i="7"/>
  <c r="F322" i="7"/>
  <c r="F323" i="7"/>
  <c r="F324" i="7"/>
  <c r="F325" i="7"/>
  <c r="F326" i="7"/>
  <c r="F327" i="7"/>
  <c r="F328" i="7"/>
  <c r="F329" i="7"/>
  <c r="F330" i="7"/>
  <c r="F331" i="7"/>
  <c r="F319" i="7"/>
  <c r="F278" i="7"/>
  <c r="F279" i="7"/>
  <c r="F280" i="7"/>
  <c r="F281" i="7"/>
  <c r="F282" i="7"/>
  <c r="F283" i="7"/>
  <c r="F284" i="7"/>
  <c r="F285" i="7"/>
  <c r="F286" i="7"/>
  <c r="F287" i="7"/>
  <c r="F288" i="7"/>
  <c r="F289" i="7"/>
  <c r="F277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34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191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48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06" i="7"/>
  <c r="F66" i="7"/>
  <c r="F67" i="7"/>
  <c r="F68" i="7"/>
  <c r="F69" i="7"/>
  <c r="F70" i="7"/>
  <c r="F71" i="7"/>
  <c r="F72" i="7"/>
  <c r="F73" i="7"/>
  <c r="F74" i="7"/>
  <c r="F75" i="7"/>
  <c r="F76" i="7"/>
  <c r="F77" i="7"/>
  <c r="F65" i="7"/>
  <c r="F24" i="7"/>
  <c r="F25" i="7"/>
  <c r="F26" i="7"/>
  <c r="F27" i="7"/>
  <c r="F28" i="7"/>
  <c r="F23" i="7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281" i="8"/>
  <c r="F282" i="8"/>
  <c r="F283" i="8"/>
  <c r="F284" i="8"/>
  <c r="F285" i="8"/>
  <c r="F286" i="8"/>
  <c r="F287" i="8"/>
  <c r="F323" i="8"/>
  <c r="F280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38" i="8"/>
  <c r="F195" i="8"/>
  <c r="F196" i="8"/>
  <c r="F197" i="8"/>
  <c r="F198" i="8"/>
  <c r="F199" i="8"/>
  <c r="F201" i="8"/>
  <c r="F202" i="8"/>
  <c r="F203" i="8"/>
  <c r="F204" i="8"/>
  <c r="F205" i="8"/>
  <c r="F206" i="8"/>
  <c r="F207" i="8"/>
  <c r="F154" i="8"/>
  <c r="F155" i="8"/>
  <c r="F156" i="8"/>
  <c r="F157" i="8"/>
  <c r="F158" i="8"/>
  <c r="F159" i="8"/>
  <c r="F160" i="8"/>
  <c r="F161" i="8"/>
  <c r="F162" i="8"/>
  <c r="F163" i="8"/>
  <c r="F164" i="8"/>
  <c r="F165" i="8"/>
  <c r="F153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12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68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23" i="8"/>
  <c r="F236" i="9"/>
  <c r="F237" i="9"/>
  <c r="F238" i="9"/>
  <c r="F239" i="9"/>
  <c r="F240" i="9"/>
  <c r="F241" i="9"/>
  <c r="F242" i="9"/>
  <c r="F243" i="9"/>
  <c r="F244" i="9"/>
  <c r="F245" i="9"/>
  <c r="F246" i="9"/>
  <c r="F235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18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76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193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51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08" i="9"/>
  <c r="F67" i="9"/>
  <c r="F68" i="9"/>
  <c r="F69" i="9"/>
  <c r="F70" i="9"/>
  <c r="F71" i="9"/>
  <c r="F72" i="9"/>
  <c r="F73" i="9"/>
  <c r="F74" i="9"/>
  <c r="F75" i="9"/>
  <c r="F76" i="9"/>
  <c r="F77" i="9"/>
  <c r="F78" i="9"/>
  <c r="F66" i="9"/>
  <c r="F24" i="9"/>
  <c r="F25" i="9"/>
  <c r="F26" i="9"/>
  <c r="F27" i="9"/>
  <c r="F28" i="9"/>
  <c r="F29" i="9"/>
  <c r="F30" i="9"/>
  <c r="F31" i="9"/>
  <c r="F32" i="9"/>
  <c r="F33" i="9"/>
  <c r="F34" i="9"/>
  <c r="F35" i="9"/>
  <c r="F23" i="9"/>
  <c r="F108" i="10"/>
  <c r="F109" i="10"/>
  <c r="F110" i="10"/>
  <c r="F111" i="10"/>
  <c r="F112" i="10"/>
  <c r="F113" i="10"/>
  <c r="F114" i="10"/>
  <c r="F115" i="10"/>
  <c r="F116" i="10"/>
  <c r="F117" i="10"/>
  <c r="F118" i="10"/>
  <c r="F119" i="10"/>
  <c r="F107" i="10"/>
  <c r="F66" i="10"/>
  <c r="F67" i="10"/>
  <c r="F68" i="10"/>
  <c r="F69" i="10"/>
  <c r="F70" i="10"/>
  <c r="F71" i="10"/>
  <c r="F72" i="10"/>
  <c r="F73" i="10"/>
  <c r="F74" i="10"/>
  <c r="F76" i="10"/>
  <c r="F77" i="10"/>
  <c r="F65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23" i="10"/>
  <c r="F322" i="5"/>
  <c r="F323" i="5"/>
  <c r="F324" i="5"/>
  <c r="F325" i="5"/>
  <c r="F326" i="5"/>
  <c r="F327" i="5"/>
  <c r="F328" i="5"/>
  <c r="F329" i="5"/>
  <c r="F330" i="5"/>
  <c r="F331" i="5"/>
  <c r="F332" i="5"/>
  <c r="F321" i="5"/>
  <c r="F280" i="5"/>
  <c r="F282" i="5"/>
  <c r="F283" i="5"/>
  <c r="F284" i="5"/>
  <c r="F285" i="5"/>
  <c r="F286" i="5"/>
  <c r="F287" i="5"/>
  <c r="F288" i="5"/>
  <c r="F289" i="5"/>
  <c r="F290" i="5"/>
  <c r="F291" i="5"/>
  <c r="F279" i="5"/>
  <c r="F239" i="5"/>
  <c r="F240" i="5"/>
  <c r="F241" i="5"/>
  <c r="F242" i="5"/>
  <c r="F243" i="5"/>
  <c r="F244" i="5"/>
  <c r="F245" i="5"/>
  <c r="F246" i="5"/>
  <c r="F247" i="5"/>
  <c r="F248" i="5"/>
  <c r="F249" i="5"/>
  <c r="F238" i="5"/>
  <c r="F198" i="5"/>
  <c r="F199" i="5"/>
  <c r="F200" i="5"/>
  <c r="F201" i="5"/>
  <c r="F202" i="5"/>
  <c r="F203" i="5"/>
  <c r="F204" i="5"/>
  <c r="F205" i="5"/>
  <c r="F206" i="5"/>
  <c r="F207" i="5"/>
  <c r="F208" i="5"/>
  <c r="F196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12" i="5"/>
  <c r="F113" i="5"/>
  <c r="F114" i="5"/>
  <c r="F117" i="5"/>
  <c r="F118" i="5"/>
  <c r="F119" i="5"/>
  <c r="F120" i="5"/>
  <c r="F121" i="5"/>
  <c r="F123" i="5"/>
  <c r="F111" i="5"/>
  <c r="F69" i="5"/>
  <c r="F70" i="5"/>
  <c r="F71" i="5"/>
  <c r="F72" i="5"/>
  <c r="F73" i="5"/>
  <c r="F74" i="5"/>
  <c r="F75" i="5"/>
  <c r="F76" i="5"/>
  <c r="F77" i="5"/>
  <c r="F78" i="5"/>
  <c r="F79" i="5"/>
  <c r="F80" i="5"/>
  <c r="F68" i="5"/>
  <c r="F26" i="5"/>
  <c r="F27" i="5"/>
  <c r="F29" i="5"/>
  <c r="F30" i="5"/>
  <c r="F31" i="5"/>
  <c r="F32" i="5"/>
  <c r="F33" i="5"/>
  <c r="F34" i="5"/>
  <c r="F35" i="5"/>
  <c r="F36" i="5"/>
  <c r="F37" i="5"/>
  <c r="F25" i="5"/>
  <c r="F352" i="6"/>
  <c r="F309" i="6"/>
  <c r="F268" i="6"/>
  <c r="F227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86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45" i="6"/>
  <c r="F106" i="6" l="1"/>
  <c r="F107" i="6"/>
  <c r="F108" i="6"/>
  <c r="F109" i="6"/>
  <c r="F110" i="6"/>
  <c r="F111" i="6"/>
  <c r="F112" i="6"/>
  <c r="F113" i="6"/>
  <c r="F114" i="6"/>
  <c r="F115" i="6"/>
  <c r="F65" i="6"/>
  <c r="F66" i="6"/>
  <c r="F67" i="6"/>
  <c r="F68" i="6"/>
  <c r="F69" i="6"/>
  <c r="F70" i="6"/>
  <c r="F71" i="6"/>
  <c r="F72" i="6"/>
  <c r="F73" i="6"/>
  <c r="F74" i="6"/>
  <c r="F75" i="6"/>
  <c r="F64" i="6"/>
  <c r="F116" i="6" l="1"/>
  <c r="F24" i="6"/>
  <c r="F25" i="6"/>
  <c r="F26" i="6"/>
  <c r="F27" i="6"/>
  <c r="F28" i="6"/>
  <c r="F29" i="6"/>
  <c r="F30" i="6"/>
  <c r="F31" i="6"/>
  <c r="F33" i="6"/>
  <c r="F34" i="6"/>
  <c r="F23" i="6"/>
  <c r="F441" i="2" l="1"/>
  <c r="F442" i="2"/>
  <c r="F443" i="2"/>
  <c r="F444" i="2"/>
  <c r="F445" i="2"/>
  <c r="F446" i="2"/>
  <c r="F447" i="2"/>
  <c r="F448" i="2"/>
  <c r="F449" i="2"/>
  <c r="F450" i="2"/>
  <c r="F451" i="2"/>
  <c r="F452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398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55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29" i="2"/>
  <c r="F147" i="2"/>
  <c r="F148" i="2"/>
  <c r="F149" i="2"/>
  <c r="F150" i="2"/>
  <c r="F151" i="2"/>
  <c r="F152" i="2"/>
  <c r="F153" i="2"/>
  <c r="F154" i="2"/>
  <c r="F155" i="2"/>
  <c r="F156" i="2"/>
  <c r="F157" i="2"/>
  <c r="F146" i="2"/>
  <c r="F106" i="2"/>
  <c r="F107" i="2"/>
  <c r="F108" i="2"/>
  <c r="F109" i="2"/>
  <c r="F110" i="2"/>
  <c r="F105" i="2"/>
  <c r="F315" i="2"/>
  <c r="F316" i="2"/>
  <c r="F317" i="2"/>
  <c r="F318" i="2"/>
  <c r="F319" i="2"/>
  <c r="F320" i="2"/>
  <c r="F321" i="2"/>
  <c r="F322" i="2"/>
  <c r="F323" i="2"/>
  <c r="F324" i="2"/>
  <c r="F325" i="2"/>
  <c r="F314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70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187" i="2"/>
  <c r="F66" i="2"/>
  <c r="F67" i="2"/>
  <c r="F68" i="2"/>
  <c r="F69" i="2"/>
  <c r="F70" i="2"/>
  <c r="F71" i="2"/>
  <c r="F72" i="2"/>
  <c r="F73" i="2"/>
  <c r="F74" i="2"/>
  <c r="F75" i="2"/>
  <c r="F76" i="2"/>
  <c r="F65" i="2"/>
  <c r="F26" i="2"/>
  <c r="F27" i="2"/>
  <c r="F28" i="2"/>
  <c r="F29" i="2"/>
  <c r="F30" i="2"/>
  <c r="F32" i="2"/>
  <c r="F33" i="2"/>
  <c r="F34" i="2"/>
  <c r="F35" i="2"/>
  <c r="F36" i="2"/>
  <c r="F25" i="2"/>
  <c r="F151" i="1"/>
  <c r="F152" i="1"/>
  <c r="F153" i="1"/>
  <c r="F154" i="1"/>
  <c r="F157" i="1"/>
  <c r="F158" i="1"/>
  <c r="F159" i="1"/>
  <c r="F160" i="1"/>
  <c r="F161" i="1"/>
  <c r="F162" i="1"/>
  <c r="F163" i="1"/>
  <c r="F164" i="1"/>
  <c r="F150" i="1"/>
  <c r="F108" i="1"/>
  <c r="F109" i="1"/>
  <c r="F110" i="1"/>
  <c r="F111" i="1"/>
  <c r="F112" i="1"/>
  <c r="F113" i="1"/>
  <c r="F114" i="1"/>
  <c r="F115" i="1"/>
  <c r="F116" i="1"/>
  <c r="F117" i="1"/>
  <c r="F107" i="1"/>
  <c r="F64" i="1"/>
  <c r="F65" i="1"/>
  <c r="F66" i="1"/>
  <c r="F67" i="1"/>
  <c r="F68" i="1"/>
  <c r="F69" i="1"/>
  <c r="F70" i="1"/>
  <c r="F71" i="1"/>
  <c r="F72" i="1"/>
  <c r="F74" i="1"/>
  <c r="F75" i="1"/>
  <c r="F25" i="1"/>
  <c r="F26" i="1"/>
  <c r="F27" i="1"/>
  <c r="F29" i="1"/>
  <c r="F30" i="1"/>
  <c r="F31" i="1"/>
  <c r="F32" i="1"/>
  <c r="F24" i="1"/>
  <c r="E120" i="10"/>
  <c r="F21" i="7"/>
  <c r="E36" i="7"/>
  <c r="F36" i="7"/>
  <c r="F37" i="7" s="1"/>
  <c r="F63" i="7"/>
  <c r="E78" i="7"/>
  <c r="F104" i="7"/>
  <c r="E119" i="7"/>
  <c r="F146" i="7"/>
  <c r="E161" i="7"/>
  <c r="F189" i="7"/>
  <c r="E204" i="7"/>
  <c r="F232" i="7"/>
  <c r="E247" i="7"/>
  <c r="F275" i="7"/>
  <c r="E290" i="7"/>
  <c r="F317" i="7"/>
  <c r="E332" i="7"/>
  <c r="F359" i="7"/>
  <c r="E374" i="7"/>
  <c r="F401" i="7"/>
  <c r="E416" i="7"/>
  <c r="F443" i="7"/>
  <c r="E457" i="7"/>
  <c r="F485" i="7"/>
  <c r="E500" i="7"/>
  <c r="F526" i="7"/>
  <c r="E541" i="7"/>
  <c r="F541" i="7"/>
  <c r="F567" i="7"/>
  <c r="E582" i="7"/>
  <c r="F608" i="7"/>
  <c r="E622" i="7"/>
  <c r="F648" i="7"/>
  <c r="E663" i="7"/>
  <c r="F689" i="7"/>
  <c r="E704" i="7"/>
  <c r="F732" i="7"/>
  <c r="E747" i="7"/>
  <c r="F773" i="7"/>
  <c r="E788" i="7"/>
  <c r="F816" i="7"/>
  <c r="E831" i="7"/>
  <c r="F859" i="7"/>
  <c r="E874" i="7"/>
  <c r="F902" i="7"/>
  <c r="E917" i="7"/>
  <c r="F945" i="7"/>
  <c r="E960" i="7"/>
  <c r="F988" i="7"/>
  <c r="E1003" i="7"/>
  <c r="F1031" i="7"/>
  <c r="E1046" i="7"/>
  <c r="F1074" i="7"/>
  <c r="E1089" i="7"/>
  <c r="F1117" i="7"/>
  <c r="E1132" i="7"/>
  <c r="F1160" i="7"/>
  <c r="E1175" i="7"/>
  <c r="F1203" i="7"/>
  <c r="E1218" i="7"/>
  <c r="F103" i="6"/>
  <c r="F542" i="7" l="1"/>
  <c r="F290" i="7"/>
  <c r="F291" i="7" s="1"/>
  <c r="F1003" i="7"/>
  <c r="F1004" i="7" s="1"/>
  <c r="F332" i="7"/>
  <c r="F333" i="7" s="1"/>
  <c r="F204" i="7"/>
  <c r="F205" i="7" s="1"/>
  <c r="F1175" i="7"/>
  <c r="F1176" i="7" s="1"/>
  <c r="F1046" i="7"/>
  <c r="F1047" i="7" s="1"/>
  <c r="F831" i="7"/>
  <c r="F832" i="7" s="1"/>
  <c r="F663" i="7"/>
  <c r="F664" i="7" s="1"/>
  <c r="F960" i="7"/>
  <c r="F961" i="7" s="1"/>
  <c r="F1218" i="7"/>
  <c r="F1219" i="7" s="1"/>
  <c r="F1132" i="7"/>
  <c r="F1133" i="7" s="1"/>
  <c r="F1089" i="7"/>
  <c r="F1090" i="7" s="1"/>
  <c r="F622" i="7"/>
  <c r="F623" i="7" s="1"/>
  <c r="F457" i="7"/>
  <c r="F458" i="7" s="1"/>
  <c r="F119" i="7"/>
  <c r="F120" i="7" s="1"/>
  <c r="F917" i="7"/>
  <c r="F918" i="7" s="1"/>
  <c r="F874" i="7"/>
  <c r="F875" i="7" s="1"/>
  <c r="F788" i="7"/>
  <c r="F789" i="7" s="1"/>
  <c r="F704" i="7"/>
  <c r="F705" i="7" s="1"/>
  <c r="F582" i="7"/>
  <c r="F583" i="7" s="1"/>
  <c r="F500" i="7"/>
  <c r="F501" i="7" s="1"/>
  <c r="F416" i="7"/>
  <c r="F417" i="7" s="1"/>
  <c r="F747" i="7"/>
  <c r="F748" i="7" s="1"/>
  <c r="F374" i="7"/>
  <c r="F375" i="7" s="1"/>
  <c r="F161" i="7"/>
  <c r="F162" i="7" s="1"/>
  <c r="F78" i="7"/>
  <c r="F79" i="7" s="1"/>
  <c r="F247" i="7"/>
  <c r="F248" i="7" s="1"/>
  <c r="F117" i="6"/>
  <c r="F392" i="24"/>
  <c r="F393" i="24"/>
  <c r="F394" i="24"/>
  <c r="F395" i="24"/>
  <c r="F396" i="24"/>
  <c r="F397" i="24"/>
  <c r="F398" i="24"/>
  <c r="F399" i="24"/>
  <c r="F400" i="24"/>
  <c r="F401" i="24"/>
  <c r="F402" i="24"/>
  <c r="F391" i="24"/>
  <c r="F191" i="19"/>
  <c r="F192" i="19"/>
  <c r="F193" i="19"/>
  <c r="F194" i="19"/>
  <c r="F195" i="19"/>
  <c r="F196" i="19"/>
  <c r="F197" i="19"/>
  <c r="F198" i="19"/>
  <c r="F199" i="19"/>
  <c r="F200" i="19"/>
  <c r="F201" i="19"/>
  <c r="F190" i="19"/>
  <c r="F985" i="25" l="1"/>
  <c r="F986" i="25"/>
  <c r="F987" i="25"/>
  <c r="F988" i="25"/>
  <c r="F989" i="25"/>
  <c r="F990" i="25"/>
  <c r="F991" i="25"/>
  <c r="F992" i="25"/>
  <c r="F993" i="25"/>
  <c r="F994" i="25"/>
  <c r="F995" i="25"/>
  <c r="F984" i="25"/>
  <c r="F945" i="25"/>
  <c r="F946" i="25"/>
  <c r="F947" i="25"/>
  <c r="F948" i="25"/>
  <c r="F949" i="25"/>
  <c r="F950" i="25"/>
  <c r="F951" i="25"/>
  <c r="F952" i="25"/>
  <c r="F953" i="25"/>
  <c r="F954" i="25"/>
  <c r="F955" i="25"/>
  <c r="F944" i="25"/>
  <c r="F905" i="25"/>
  <c r="F906" i="25"/>
  <c r="F907" i="25"/>
  <c r="F908" i="25"/>
  <c r="F909" i="25"/>
  <c r="F910" i="25"/>
  <c r="F911" i="25"/>
  <c r="F912" i="25"/>
  <c r="F913" i="25"/>
  <c r="F914" i="25"/>
  <c r="F915" i="25"/>
  <c r="F904" i="25"/>
  <c r="F867" i="25"/>
  <c r="F868" i="25"/>
  <c r="F869" i="25"/>
  <c r="F870" i="25"/>
  <c r="F871" i="25"/>
  <c r="F872" i="25"/>
  <c r="F873" i="25"/>
  <c r="F874" i="25"/>
  <c r="F875" i="25"/>
  <c r="F876" i="25"/>
  <c r="F877" i="25"/>
  <c r="F866" i="25"/>
  <c r="F827" i="25"/>
  <c r="F828" i="25"/>
  <c r="F829" i="25"/>
  <c r="F830" i="25"/>
  <c r="F831" i="25"/>
  <c r="F832" i="25"/>
  <c r="F833" i="25"/>
  <c r="F834" i="25"/>
  <c r="F835" i="25"/>
  <c r="F836" i="25"/>
  <c r="F837" i="25"/>
  <c r="F826" i="25"/>
  <c r="F786" i="25"/>
  <c r="F787" i="25"/>
  <c r="F788" i="25"/>
  <c r="F789" i="25"/>
  <c r="F790" i="25"/>
  <c r="F791" i="25"/>
  <c r="F792" i="25"/>
  <c r="F793" i="25"/>
  <c r="F794" i="25"/>
  <c r="F795" i="25"/>
  <c r="F796" i="25"/>
  <c r="F785" i="25"/>
  <c r="F746" i="25"/>
  <c r="F747" i="25"/>
  <c r="F748" i="25"/>
  <c r="F749" i="25"/>
  <c r="F750" i="25"/>
  <c r="F751" i="25"/>
  <c r="F752" i="25"/>
  <c r="F753" i="25"/>
  <c r="F754" i="25"/>
  <c r="F755" i="25"/>
  <c r="F756" i="25"/>
  <c r="F745" i="25"/>
  <c r="F706" i="25"/>
  <c r="F707" i="25"/>
  <c r="F708" i="25"/>
  <c r="F709" i="25"/>
  <c r="F710" i="25"/>
  <c r="F711" i="25"/>
  <c r="F712" i="25"/>
  <c r="F713" i="25"/>
  <c r="F714" i="25"/>
  <c r="F715" i="25"/>
  <c r="F716" i="25"/>
  <c r="F705" i="25"/>
  <c r="F666" i="25"/>
  <c r="F667" i="25"/>
  <c r="F668" i="25"/>
  <c r="F669" i="25"/>
  <c r="F670" i="25"/>
  <c r="F671" i="25"/>
  <c r="F672" i="25"/>
  <c r="F673" i="25"/>
  <c r="F674" i="25"/>
  <c r="F675" i="25"/>
  <c r="F676" i="25"/>
  <c r="F665" i="25"/>
  <c r="F626" i="25"/>
  <c r="F627" i="25"/>
  <c r="F628" i="25"/>
  <c r="F629" i="25"/>
  <c r="F630" i="25"/>
  <c r="F631" i="25"/>
  <c r="F632" i="25"/>
  <c r="F633" i="25"/>
  <c r="F634" i="25"/>
  <c r="F635" i="25"/>
  <c r="F636" i="25"/>
  <c r="F625" i="25"/>
  <c r="F586" i="25"/>
  <c r="F587" i="25"/>
  <c r="F588" i="25"/>
  <c r="F589" i="25"/>
  <c r="F590" i="25"/>
  <c r="F591" i="25"/>
  <c r="F592" i="25"/>
  <c r="F593" i="25"/>
  <c r="F594" i="25"/>
  <c r="F595" i="25"/>
  <c r="F596" i="25"/>
  <c r="F585" i="25"/>
  <c r="F545" i="25"/>
  <c r="F546" i="25"/>
  <c r="F547" i="25"/>
  <c r="F548" i="25"/>
  <c r="F549" i="25"/>
  <c r="F550" i="25"/>
  <c r="F551" i="25"/>
  <c r="F552" i="25"/>
  <c r="F553" i="25"/>
  <c r="F554" i="25"/>
  <c r="F555" i="25"/>
  <c r="F544" i="25"/>
  <c r="F504" i="25"/>
  <c r="F505" i="25"/>
  <c r="F506" i="25"/>
  <c r="F507" i="25"/>
  <c r="F508" i="25"/>
  <c r="F509" i="25"/>
  <c r="F510" i="25"/>
  <c r="F511" i="25"/>
  <c r="F512" i="25"/>
  <c r="F513" i="25"/>
  <c r="F514" i="25"/>
  <c r="F503" i="25"/>
  <c r="F464" i="25"/>
  <c r="F465" i="25"/>
  <c r="F466" i="25"/>
  <c r="F467" i="25"/>
  <c r="F468" i="25"/>
  <c r="F469" i="25"/>
  <c r="F470" i="25"/>
  <c r="F471" i="25"/>
  <c r="F472" i="25"/>
  <c r="F473" i="25"/>
  <c r="F474" i="25"/>
  <c r="F463" i="25"/>
  <c r="F424" i="25"/>
  <c r="F425" i="25"/>
  <c r="F426" i="25"/>
  <c r="F427" i="25"/>
  <c r="F428" i="25"/>
  <c r="F429" i="25"/>
  <c r="F430" i="25"/>
  <c r="F431" i="25"/>
  <c r="F432" i="25"/>
  <c r="F433" i="25"/>
  <c r="F434" i="25"/>
  <c r="F423" i="25"/>
  <c r="F384" i="25"/>
  <c r="F385" i="25"/>
  <c r="F386" i="25"/>
  <c r="F387" i="25"/>
  <c r="F388" i="25"/>
  <c r="F389" i="25"/>
  <c r="F390" i="25"/>
  <c r="F391" i="25"/>
  <c r="F392" i="25"/>
  <c r="F393" i="25"/>
  <c r="F394" i="25"/>
  <c r="F383" i="25"/>
  <c r="F344" i="25"/>
  <c r="F345" i="25"/>
  <c r="F346" i="25"/>
  <c r="F347" i="25"/>
  <c r="F348" i="25"/>
  <c r="F349" i="25"/>
  <c r="F350" i="25"/>
  <c r="F351" i="25"/>
  <c r="F352" i="25"/>
  <c r="F353" i="25"/>
  <c r="F354" i="25"/>
  <c r="F343" i="25"/>
  <c r="F304" i="25"/>
  <c r="F305" i="25"/>
  <c r="F306" i="25"/>
  <c r="F307" i="25"/>
  <c r="F308" i="25"/>
  <c r="F309" i="25"/>
  <c r="F310" i="25"/>
  <c r="F311" i="25"/>
  <c r="F312" i="25"/>
  <c r="F313" i="25"/>
  <c r="F314" i="25"/>
  <c r="F303" i="25"/>
  <c r="F265" i="25" l="1"/>
  <c r="F266" i="25"/>
  <c r="F267" i="25"/>
  <c r="F268" i="25"/>
  <c r="F269" i="25"/>
  <c r="F270" i="25"/>
  <c r="F271" i="25"/>
  <c r="F272" i="25"/>
  <c r="F273" i="25"/>
  <c r="F274" i="25"/>
  <c r="F275" i="25"/>
  <c r="F264" i="25"/>
  <c r="F224" i="25"/>
  <c r="F225" i="25"/>
  <c r="F226" i="25"/>
  <c r="F227" i="25"/>
  <c r="F228" i="25"/>
  <c r="F229" i="25"/>
  <c r="F230" i="25"/>
  <c r="F231" i="25"/>
  <c r="F232" i="25"/>
  <c r="F233" i="25"/>
  <c r="F234" i="25"/>
  <c r="F223" i="25"/>
  <c r="F184" i="25"/>
  <c r="F185" i="25"/>
  <c r="F186" i="25"/>
  <c r="F187" i="25"/>
  <c r="F188" i="25"/>
  <c r="F189" i="25"/>
  <c r="F190" i="25"/>
  <c r="F191" i="25"/>
  <c r="F192" i="25"/>
  <c r="F193" i="25"/>
  <c r="F194" i="25"/>
  <c r="F183" i="25"/>
  <c r="F144" i="25"/>
  <c r="F145" i="25"/>
  <c r="F146" i="25"/>
  <c r="F147" i="25"/>
  <c r="F148" i="25"/>
  <c r="F149" i="25"/>
  <c r="F150" i="25"/>
  <c r="F151" i="25"/>
  <c r="F152" i="25"/>
  <c r="F153" i="25"/>
  <c r="F154" i="25"/>
  <c r="F143" i="25"/>
  <c r="F104" i="25"/>
  <c r="F105" i="25"/>
  <c r="F106" i="25"/>
  <c r="F107" i="25"/>
  <c r="F108" i="25"/>
  <c r="F109" i="25"/>
  <c r="F110" i="25"/>
  <c r="F111" i="25"/>
  <c r="F112" i="25"/>
  <c r="F113" i="25"/>
  <c r="F114" i="25"/>
  <c r="F103" i="25"/>
  <c r="F64" i="25"/>
  <c r="F65" i="25"/>
  <c r="F66" i="25"/>
  <c r="F67" i="25"/>
  <c r="F68" i="25"/>
  <c r="F69" i="25"/>
  <c r="F70" i="25"/>
  <c r="F71" i="25"/>
  <c r="F72" i="25"/>
  <c r="F73" i="25"/>
  <c r="F74" i="25"/>
  <c r="F63" i="25"/>
  <c r="F24" i="25"/>
  <c r="F25" i="25"/>
  <c r="F26" i="25"/>
  <c r="F27" i="25"/>
  <c r="F28" i="25"/>
  <c r="F29" i="25"/>
  <c r="F30" i="25"/>
  <c r="F31" i="25"/>
  <c r="F32" i="25"/>
  <c r="F33" i="25"/>
  <c r="F34" i="25"/>
  <c r="F23" i="25"/>
  <c r="F193" i="21"/>
  <c r="F194" i="21"/>
  <c r="F195" i="21"/>
  <c r="F196" i="21"/>
  <c r="F197" i="21"/>
  <c r="F198" i="21"/>
  <c r="F199" i="21"/>
  <c r="F200" i="21"/>
  <c r="F201" i="21"/>
  <c r="F202" i="21"/>
  <c r="F203" i="21"/>
  <c r="F204" i="21"/>
  <c r="F192" i="21"/>
  <c r="F149" i="21"/>
  <c r="F150" i="21"/>
  <c r="F151" i="21"/>
  <c r="F152" i="21"/>
  <c r="F153" i="21"/>
  <c r="F154" i="21"/>
  <c r="F155" i="21"/>
  <c r="F156" i="21"/>
  <c r="F157" i="21"/>
  <c r="F158" i="21"/>
  <c r="F159" i="21"/>
  <c r="F160" i="21"/>
  <c r="F148" i="21"/>
  <c r="F107" i="21"/>
  <c r="F108" i="21"/>
  <c r="F109" i="21"/>
  <c r="F110" i="21"/>
  <c r="F111" i="21"/>
  <c r="F112" i="21"/>
  <c r="F113" i="21"/>
  <c r="F114" i="21"/>
  <c r="F115" i="21"/>
  <c r="F116" i="21"/>
  <c r="F117" i="21"/>
  <c r="F118" i="21"/>
  <c r="F106" i="21"/>
  <c r="F65" i="21"/>
  <c r="F66" i="21"/>
  <c r="F67" i="21"/>
  <c r="F68" i="21"/>
  <c r="F69" i="21"/>
  <c r="F70" i="21"/>
  <c r="F71" i="21"/>
  <c r="F72" i="21"/>
  <c r="F73" i="21"/>
  <c r="F74" i="21"/>
  <c r="F75" i="21"/>
  <c r="F76" i="21"/>
  <c r="F64" i="21"/>
  <c r="F22" i="21"/>
  <c r="F23" i="21"/>
  <c r="F24" i="21"/>
  <c r="F25" i="21"/>
  <c r="F26" i="21"/>
  <c r="F27" i="21"/>
  <c r="F28" i="21"/>
  <c r="F29" i="21"/>
  <c r="F30" i="21"/>
  <c r="F31" i="21"/>
  <c r="F32" i="21"/>
  <c r="F33" i="21"/>
  <c r="F21" i="21"/>
  <c r="F296" i="23"/>
  <c r="F297" i="23"/>
  <c r="F298" i="23"/>
  <c r="F299" i="23"/>
  <c r="F300" i="23"/>
  <c r="F301" i="23"/>
  <c r="F302" i="23"/>
  <c r="F303" i="23"/>
  <c r="F304" i="23"/>
  <c r="F305" i="23"/>
  <c r="F306" i="23"/>
  <c r="F295" i="23"/>
  <c r="F257" i="23"/>
  <c r="F258" i="23"/>
  <c r="F259" i="23"/>
  <c r="F260" i="23"/>
  <c r="F261" i="23"/>
  <c r="F262" i="23"/>
  <c r="F263" i="23"/>
  <c r="F264" i="23"/>
  <c r="F265" i="23"/>
  <c r="F266" i="23"/>
  <c r="F267" i="23"/>
  <c r="F256" i="23"/>
  <c r="F218" i="23"/>
  <c r="F219" i="23"/>
  <c r="F220" i="23"/>
  <c r="F221" i="23"/>
  <c r="F222" i="23"/>
  <c r="F223" i="23"/>
  <c r="F224" i="23"/>
  <c r="F225" i="23"/>
  <c r="F226" i="23"/>
  <c r="F227" i="23"/>
  <c r="F228" i="23"/>
  <c r="F217" i="23"/>
  <c r="F178" i="23"/>
  <c r="F179" i="23"/>
  <c r="F180" i="23"/>
  <c r="F181" i="23"/>
  <c r="F182" i="23"/>
  <c r="F183" i="23"/>
  <c r="F184" i="23"/>
  <c r="F185" i="23"/>
  <c r="F186" i="23"/>
  <c r="F187" i="23"/>
  <c r="F188" i="23"/>
  <c r="F177" i="23"/>
  <c r="F139" i="23"/>
  <c r="F140" i="23"/>
  <c r="F141" i="23"/>
  <c r="F142" i="23"/>
  <c r="F143" i="23"/>
  <c r="F144" i="23"/>
  <c r="F145" i="23"/>
  <c r="F146" i="23"/>
  <c r="F147" i="23"/>
  <c r="F148" i="23"/>
  <c r="F149" i="23"/>
  <c r="F138" i="23"/>
  <c r="F100" i="23"/>
  <c r="F101" i="23"/>
  <c r="F102" i="23"/>
  <c r="F103" i="23"/>
  <c r="F104" i="23"/>
  <c r="F105" i="23"/>
  <c r="F106" i="23"/>
  <c r="F107" i="23"/>
  <c r="F108" i="23"/>
  <c r="F109" i="23"/>
  <c r="F110" i="23"/>
  <c r="F99" i="23"/>
  <c r="F61" i="23"/>
  <c r="F62" i="23"/>
  <c r="F63" i="23"/>
  <c r="F64" i="23"/>
  <c r="F65" i="23"/>
  <c r="F66" i="23"/>
  <c r="F67" i="23"/>
  <c r="F68" i="23"/>
  <c r="F69" i="23"/>
  <c r="F70" i="23"/>
  <c r="F71" i="23"/>
  <c r="F60" i="23"/>
  <c r="F22" i="23"/>
  <c r="F23" i="23"/>
  <c r="F24" i="23"/>
  <c r="F25" i="23"/>
  <c r="F26" i="23"/>
  <c r="F27" i="23"/>
  <c r="F28" i="23"/>
  <c r="F29" i="23"/>
  <c r="F30" i="23"/>
  <c r="F31" i="23"/>
  <c r="F32" i="23"/>
  <c r="F21" i="23"/>
  <c r="F19" i="17"/>
  <c r="F20" i="17"/>
  <c r="F21" i="17"/>
  <c r="F22" i="17"/>
  <c r="F23" i="17"/>
  <c r="F24" i="17"/>
  <c r="F25" i="17"/>
  <c r="F26" i="17"/>
  <c r="F27" i="17"/>
  <c r="F28" i="17"/>
  <c r="F29" i="17"/>
  <c r="F30" i="17"/>
  <c r="F18" i="17"/>
  <c r="F474" i="24"/>
  <c r="F475" i="24"/>
  <c r="F476" i="24"/>
  <c r="F477" i="24"/>
  <c r="F478" i="24"/>
  <c r="F479" i="24"/>
  <c r="F480" i="24"/>
  <c r="F481" i="24"/>
  <c r="F482" i="24"/>
  <c r="F483" i="24"/>
  <c r="F484" i="24"/>
  <c r="F473" i="24"/>
  <c r="F433" i="24"/>
  <c r="F434" i="24"/>
  <c r="F435" i="24"/>
  <c r="F436" i="24"/>
  <c r="F437" i="24"/>
  <c r="F438" i="24"/>
  <c r="F439" i="24"/>
  <c r="F440" i="24"/>
  <c r="F441" i="24"/>
  <c r="F442" i="24"/>
  <c r="F443" i="24"/>
  <c r="F432" i="24"/>
  <c r="F351" i="24"/>
  <c r="F352" i="24"/>
  <c r="F353" i="24"/>
  <c r="F354" i="24"/>
  <c r="F355" i="24"/>
  <c r="F356" i="24"/>
  <c r="F357" i="24"/>
  <c r="F358" i="24"/>
  <c r="F359" i="24"/>
  <c r="F360" i="24"/>
  <c r="F361" i="24"/>
  <c r="F350" i="24"/>
  <c r="F310" i="24"/>
  <c r="F311" i="24"/>
  <c r="F312" i="24"/>
  <c r="F313" i="24"/>
  <c r="F314" i="24"/>
  <c r="F315" i="24"/>
  <c r="F316" i="24"/>
  <c r="F317" i="24"/>
  <c r="F318" i="24"/>
  <c r="F319" i="24"/>
  <c r="F320" i="24"/>
  <c r="F309" i="24"/>
  <c r="F269" i="24"/>
  <c r="F270" i="24"/>
  <c r="F271" i="24"/>
  <c r="F272" i="24"/>
  <c r="F273" i="24"/>
  <c r="F274" i="24"/>
  <c r="F275" i="24"/>
  <c r="F276" i="24"/>
  <c r="F277" i="24"/>
  <c r="F278" i="24"/>
  <c r="F279" i="24"/>
  <c r="F268" i="24"/>
  <c r="F229" i="24"/>
  <c r="F230" i="24"/>
  <c r="F231" i="24"/>
  <c r="F232" i="24"/>
  <c r="F233" i="24"/>
  <c r="F234" i="24"/>
  <c r="F235" i="24"/>
  <c r="F236" i="24"/>
  <c r="F237" i="24"/>
  <c r="F238" i="24"/>
  <c r="F239" i="24"/>
  <c r="F228" i="24"/>
  <c r="F188" i="24"/>
  <c r="F189" i="24"/>
  <c r="F190" i="24"/>
  <c r="F191" i="24"/>
  <c r="F192" i="24"/>
  <c r="F193" i="24"/>
  <c r="F194" i="24"/>
  <c r="F195" i="24"/>
  <c r="F196" i="24"/>
  <c r="F197" i="24"/>
  <c r="F198" i="24"/>
  <c r="F187" i="24"/>
  <c r="F147" i="24"/>
  <c r="F148" i="24"/>
  <c r="F149" i="24"/>
  <c r="F150" i="24"/>
  <c r="F151" i="24"/>
  <c r="F152" i="24"/>
  <c r="F153" i="24"/>
  <c r="F154" i="24"/>
  <c r="F155" i="24"/>
  <c r="F156" i="24"/>
  <c r="F157" i="24"/>
  <c r="F146" i="24"/>
  <c r="F106" i="24"/>
  <c r="F107" i="24"/>
  <c r="F108" i="24"/>
  <c r="F109" i="24"/>
  <c r="F110" i="24"/>
  <c r="F111" i="24"/>
  <c r="F112" i="24"/>
  <c r="F113" i="24"/>
  <c r="F114" i="24"/>
  <c r="F115" i="24"/>
  <c r="F116" i="24"/>
  <c r="F105" i="24"/>
  <c r="F65" i="24"/>
  <c r="F66" i="24"/>
  <c r="F67" i="24"/>
  <c r="F68" i="24"/>
  <c r="F69" i="24"/>
  <c r="F70" i="24"/>
  <c r="F71" i="24"/>
  <c r="F72" i="24"/>
  <c r="F73" i="24"/>
  <c r="F74" i="24"/>
  <c r="F75" i="24"/>
  <c r="F64" i="24"/>
  <c r="F24" i="24"/>
  <c r="F25" i="24"/>
  <c r="F26" i="24"/>
  <c r="F27" i="24"/>
  <c r="F28" i="24"/>
  <c r="F29" i="24"/>
  <c r="F30" i="24"/>
  <c r="F31" i="24"/>
  <c r="F32" i="24"/>
  <c r="F33" i="24"/>
  <c r="F34" i="24"/>
  <c r="F23" i="24"/>
  <c r="F140" i="22"/>
  <c r="F141" i="22"/>
  <c r="F142" i="22"/>
  <c r="F143" i="22"/>
  <c r="F144" i="22"/>
  <c r="F145" i="22"/>
  <c r="F146" i="22"/>
  <c r="F147" i="22"/>
  <c r="F148" i="22"/>
  <c r="F149" i="22"/>
  <c r="F150" i="22"/>
  <c r="F139" i="22"/>
  <c r="F99" i="22"/>
  <c r="F100" i="22"/>
  <c r="F101" i="22"/>
  <c r="F102" i="22"/>
  <c r="F103" i="22"/>
  <c r="F104" i="22"/>
  <c r="F105" i="22"/>
  <c r="F106" i="22"/>
  <c r="F107" i="22"/>
  <c r="F108" i="22"/>
  <c r="F109" i="22"/>
  <c r="F98" i="22"/>
  <c r="F61" i="22"/>
  <c r="F62" i="22"/>
  <c r="F63" i="22"/>
  <c r="F64" i="22"/>
  <c r="F65" i="22"/>
  <c r="F66" i="22"/>
  <c r="F67" i="22"/>
  <c r="F68" i="22"/>
  <c r="F69" i="22"/>
  <c r="F70" i="22"/>
  <c r="F71" i="22"/>
  <c r="F60" i="22"/>
  <c r="F22" i="22"/>
  <c r="F23" i="22"/>
  <c r="F24" i="22"/>
  <c r="F25" i="22"/>
  <c r="F26" i="22"/>
  <c r="F27" i="22"/>
  <c r="F28" i="22"/>
  <c r="F29" i="22"/>
  <c r="F30" i="22"/>
  <c r="F31" i="22"/>
  <c r="F32" i="22"/>
  <c r="F21" i="22"/>
  <c r="F67" i="18"/>
  <c r="F68" i="18"/>
  <c r="F69" i="18"/>
  <c r="F70" i="18"/>
  <c r="F71" i="18"/>
  <c r="F72" i="18"/>
  <c r="F73" i="18"/>
  <c r="F74" i="18"/>
  <c r="F75" i="18"/>
  <c r="F76" i="18"/>
  <c r="F77" i="18"/>
  <c r="F66" i="18"/>
  <c r="F25" i="18"/>
  <c r="F26" i="18"/>
  <c r="F27" i="18"/>
  <c r="F28" i="18"/>
  <c r="F29" i="18"/>
  <c r="F30" i="18"/>
  <c r="F31" i="18"/>
  <c r="F32" i="18"/>
  <c r="F33" i="18"/>
  <c r="F34" i="18"/>
  <c r="F35" i="18"/>
  <c r="F24" i="18"/>
  <c r="F275" i="19"/>
  <c r="F276" i="19"/>
  <c r="F277" i="19"/>
  <c r="F278" i="19"/>
  <c r="F279" i="19"/>
  <c r="F280" i="19"/>
  <c r="F281" i="19"/>
  <c r="F282" i="19"/>
  <c r="F283" i="19"/>
  <c r="F284" i="19"/>
  <c r="F285" i="19"/>
  <c r="F233" i="19"/>
  <c r="F234" i="19"/>
  <c r="F235" i="19"/>
  <c r="F236" i="19"/>
  <c r="F237" i="19"/>
  <c r="F238" i="19"/>
  <c r="F239" i="19"/>
  <c r="F240" i="19"/>
  <c r="F241" i="19"/>
  <c r="F242" i="19"/>
  <c r="F243" i="19"/>
  <c r="F232" i="19"/>
  <c r="F147" i="19"/>
  <c r="F148" i="19"/>
  <c r="F149" i="19"/>
  <c r="F150" i="19"/>
  <c r="F151" i="19"/>
  <c r="F152" i="19"/>
  <c r="F153" i="19"/>
  <c r="F154" i="19"/>
  <c r="F155" i="19"/>
  <c r="F156" i="19"/>
  <c r="F157" i="19"/>
  <c r="F146" i="19"/>
  <c r="F106" i="19"/>
  <c r="F107" i="19"/>
  <c r="F108" i="19"/>
  <c r="F109" i="19"/>
  <c r="F110" i="19"/>
  <c r="F111" i="19"/>
  <c r="F112" i="19"/>
  <c r="F113" i="19"/>
  <c r="F114" i="19"/>
  <c r="F115" i="19"/>
  <c r="F116" i="19"/>
  <c r="F105" i="19"/>
  <c r="F64" i="19"/>
  <c r="F65" i="19"/>
  <c r="F66" i="19"/>
  <c r="F67" i="19"/>
  <c r="F68" i="19"/>
  <c r="F69" i="19"/>
  <c r="F70" i="19"/>
  <c r="F71" i="19"/>
  <c r="F72" i="19"/>
  <c r="F73" i="19"/>
  <c r="F74" i="19"/>
  <c r="F63" i="19"/>
  <c r="F24" i="19"/>
  <c r="F25" i="19"/>
  <c r="F26" i="19"/>
  <c r="F27" i="19"/>
  <c r="F28" i="19"/>
  <c r="F29" i="19"/>
  <c r="F30" i="19"/>
  <c r="F31" i="19"/>
  <c r="F32" i="19"/>
  <c r="F33" i="19"/>
  <c r="F34" i="19"/>
  <c r="F23" i="19"/>
  <c r="F274" i="19"/>
  <c r="F952" i="20" l="1"/>
  <c r="F953" i="20"/>
  <c r="F954" i="20"/>
  <c r="F955" i="20"/>
  <c r="F956" i="20"/>
  <c r="F957" i="20"/>
  <c r="F958" i="20"/>
  <c r="F959" i="20"/>
  <c r="F960" i="20"/>
  <c r="F961" i="20"/>
  <c r="F962" i="20"/>
  <c r="F951" i="20"/>
  <c r="F909" i="20"/>
  <c r="F910" i="20"/>
  <c r="F911" i="20"/>
  <c r="F912" i="20"/>
  <c r="F913" i="20"/>
  <c r="F914" i="20"/>
  <c r="F915" i="20"/>
  <c r="F916" i="20"/>
  <c r="F917" i="20"/>
  <c r="F918" i="20"/>
  <c r="F919" i="20"/>
  <c r="F908" i="20"/>
  <c r="F866" i="20"/>
  <c r="F867" i="20"/>
  <c r="F868" i="20"/>
  <c r="F869" i="20"/>
  <c r="F870" i="20"/>
  <c r="F871" i="20"/>
  <c r="F872" i="20"/>
  <c r="F873" i="20"/>
  <c r="F874" i="20"/>
  <c r="F875" i="20"/>
  <c r="F876" i="20"/>
  <c r="F865" i="20"/>
  <c r="F824" i="20"/>
  <c r="F825" i="20"/>
  <c r="F826" i="20"/>
  <c r="F827" i="20"/>
  <c r="F828" i="20"/>
  <c r="F829" i="20"/>
  <c r="F830" i="20"/>
  <c r="F831" i="20"/>
  <c r="F832" i="20"/>
  <c r="F833" i="20"/>
  <c r="F834" i="20"/>
  <c r="F823" i="20"/>
  <c r="F783" i="20"/>
  <c r="F784" i="20"/>
  <c r="F785" i="20"/>
  <c r="F786" i="20"/>
  <c r="F787" i="20"/>
  <c r="F788" i="20"/>
  <c r="F789" i="20"/>
  <c r="F790" i="20"/>
  <c r="F791" i="20"/>
  <c r="F792" i="20"/>
  <c r="F793" i="20"/>
  <c r="F782" i="20"/>
  <c r="F741" i="20"/>
  <c r="F742" i="20"/>
  <c r="F743" i="20"/>
  <c r="F744" i="20"/>
  <c r="F745" i="20"/>
  <c r="F746" i="20"/>
  <c r="F747" i="20"/>
  <c r="F748" i="20"/>
  <c r="F749" i="20"/>
  <c r="F750" i="20"/>
  <c r="F751" i="20"/>
  <c r="F740" i="20"/>
  <c r="F698" i="20"/>
  <c r="F699" i="20"/>
  <c r="F700" i="20"/>
  <c r="F701" i="20"/>
  <c r="F702" i="20"/>
  <c r="F703" i="20"/>
  <c r="F704" i="20"/>
  <c r="F705" i="20"/>
  <c r="F706" i="20"/>
  <c r="F707" i="20"/>
  <c r="F708" i="20"/>
  <c r="F697" i="20"/>
  <c r="F657" i="20"/>
  <c r="F658" i="20"/>
  <c r="F659" i="20"/>
  <c r="F660" i="20"/>
  <c r="F661" i="20"/>
  <c r="F662" i="20"/>
  <c r="F663" i="20"/>
  <c r="F664" i="20"/>
  <c r="F665" i="20"/>
  <c r="F666" i="20"/>
  <c r="F667" i="20"/>
  <c r="F656" i="20"/>
  <c r="F614" i="20"/>
  <c r="F615" i="20"/>
  <c r="F616" i="20"/>
  <c r="F617" i="20"/>
  <c r="F618" i="20"/>
  <c r="F619" i="20"/>
  <c r="F620" i="20"/>
  <c r="F621" i="20"/>
  <c r="F622" i="20"/>
  <c r="F623" i="20"/>
  <c r="F624" i="20"/>
  <c r="F613" i="20"/>
  <c r="F573" i="20"/>
  <c r="F574" i="20"/>
  <c r="F575" i="20"/>
  <c r="F576" i="20"/>
  <c r="F577" i="20"/>
  <c r="F578" i="20"/>
  <c r="F579" i="20"/>
  <c r="F580" i="20"/>
  <c r="F581" i="20"/>
  <c r="F582" i="20"/>
  <c r="F583" i="20"/>
  <c r="F572" i="20"/>
  <c r="F531" i="20"/>
  <c r="F532" i="20"/>
  <c r="F533" i="20"/>
  <c r="F534" i="20"/>
  <c r="F535" i="20"/>
  <c r="F536" i="20"/>
  <c r="F537" i="20"/>
  <c r="F538" i="20"/>
  <c r="F539" i="20"/>
  <c r="F540" i="20"/>
  <c r="F541" i="20"/>
  <c r="F530" i="20"/>
  <c r="F489" i="20"/>
  <c r="F490" i="20"/>
  <c r="F491" i="20"/>
  <c r="F492" i="20"/>
  <c r="F493" i="20"/>
  <c r="F494" i="20"/>
  <c r="F495" i="20"/>
  <c r="F496" i="20"/>
  <c r="F497" i="20"/>
  <c r="F498" i="20"/>
  <c r="F499" i="20"/>
  <c r="F488" i="20"/>
  <c r="F446" i="20"/>
  <c r="F447" i="20"/>
  <c r="F448" i="20"/>
  <c r="F449" i="20"/>
  <c r="F450" i="20"/>
  <c r="F451" i="20"/>
  <c r="F452" i="20"/>
  <c r="F453" i="20"/>
  <c r="F454" i="20"/>
  <c r="F455" i="20"/>
  <c r="F456" i="20"/>
  <c r="F445" i="20"/>
  <c r="F405" i="20"/>
  <c r="F406" i="20"/>
  <c r="F407" i="20"/>
  <c r="F408" i="20"/>
  <c r="F409" i="20"/>
  <c r="F410" i="20"/>
  <c r="F411" i="20"/>
  <c r="F412" i="20"/>
  <c r="F413" i="20"/>
  <c r="F414" i="20"/>
  <c r="F415" i="20"/>
  <c r="F404" i="20"/>
  <c r="F362" i="20"/>
  <c r="F363" i="20"/>
  <c r="F364" i="20"/>
  <c r="F365" i="20"/>
  <c r="F366" i="20"/>
  <c r="F367" i="20"/>
  <c r="F368" i="20"/>
  <c r="F369" i="20"/>
  <c r="F370" i="20"/>
  <c r="F371" i="20"/>
  <c r="F372" i="20"/>
  <c r="F361" i="20"/>
  <c r="F320" i="20"/>
  <c r="F321" i="20"/>
  <c r="F322" i="20"/>
  <c r="F323" i="20"/>
  <c r="F324" i="20"/>
  <c r="F325" i="20"/>
  <c r="F326" i="20"/>
  <c r="F327" i="20"/>
  <c r="F328" i="20"/>
  <c r="F329" i="20"/>
  <c r="F330" i="20"/>
  <c r="F319" i="20"/>
  <c r="F278" i="20"/>
  <c r="F279" i="20"/>
  <c r="F280" i="20"/>
  <c r="F281" i="20"/>
  <c r="F282" i="20"/>
  <c r="F283" i="20"/>
  <c r="F284" i="20"/>
  <c r="F285" i="20"/>
  <c r="F286" i="20"/>
  <c r="F287" i="20"/>
  <c r="F288" i="20"/>
  <c r="F277" i="20"/>
  <c r="F236" i="20"/>
  <c r="F237" i="20"/>
  <c r="F238" i="20"/>
  <c r="F239" i="20"/>
  <c r="F240" i="20"/>
  <c r="F241" i="20"/>
  <c r="F242" i="20"/>
  <c r="F243" i="20"/>
  <c r="F244" i="20"/>
  <c r="F245" i="20"/>
  <c r="F246" i="20"/>
  <c r="F235" i="20"/>
  <c r="F194" i="20"/>
  <c r="F195" i="20"/>
  <c r="F196" i="20"/>
  <c r="F197" i="20"/>
  <c r="F198" i="20"/>
  <c r="F199" i="20"/>
  <c r="F200" i="20"/>
  <c r="F201" i="20"/>
  <c r="F202" i="20"/>
  <c r="F203" i="20"/>
  <c r="F204" i="20"/>
  <c r="F193" i="20"/>
  <c r="F205" i="20" s="1"/>
  <c r="F151" i="20"/>
  <c r="F152" i="20"/>
  <c r="F153" i="20"/>
  <c r="F154" i="20"/>
  <c r="F155" i="20"/>
  <c r="F156" i="20"/>
  <c r="F157" i="20"/>
  <c r="F158" i="20"/>
  <c r="F159" i="20"/>
  <c r="F160" i="20"/>
  <c r="F161" i="20"/>
  <c r="F150" i="20"/>
  <c r="F110" i="20"/>
  <c r="F111" i="20"/>
  <c r="F112" i="20"/>
  <c r="F113" i="20"/>
  <c r="F114" i="20"/>
  <c r="F115" i="20"/>
  <c r="F116" i="20"/>
  <c r="F117" i="20"/>
  <c r="F118" i="20"/>
  <c r="F119" i="20"/>
  <c r="F120" i="20"/>
  <c r="F109" i="20"/>
  <c r="F67" i="20"/>
  <c r="F68" i="20"/>
  <c r="F69" i="20"/>
  <c r="F70" i="20"/>
  <c r="F71" i="20"/>
  <c r="F72" i="20"/>
  <c r="F73" i="20"/>
  <c r="F74" i="20"/>
  <c r="F75" i="20"/>
  <c r="F76" i="20"/>
  <c r="F77" i="20"/>
  <c r="F78" i="20"/>
  <c r="F66" i="20"/>
  <c r="F36" i="20"/>
  <c r="F29" i="20"/>
  <c r="F30" i="20"/>
  <c r="F31" i="20"/>
  <c r="F32" i="20"/>
  <c r="F33" i="20"/>
  <c r="F34" i="20"/>
  <c r="F35" i="20"/>
  <c r="F25" i="20"/>
  <c r="F26" i="20"/>
  <c r="F27" i="20"/>
  <c r="F28" i="20"/>
  <c r="F24" i="20"/>
  <c r="F247" i="20" l="1"/>
  <c r="F373" i="20"/>
  <c r="E996" i="25"/>
  <c r="F982" i="25"/>
  <c r="E956" i="25"/>
  <c r="F942" i="25"/>
  <c r="E916" i="25"/>
  <c r="F902" i="25"/>
  <c r="E878" i="25"/>
  <c r="F864" i="25"/>
  <c r="E838" i="25"/>
  <c r="F824" i="25"/>
  <c r="E797" i="25"/>
  <c r="F783" i="25"/>
  <c r="E757" i="25"/>
  <c r="F743" i="25"/>
  <c r="E717" i="25"/>
  <c r="F703" i="25"/>
  <c r="E677" i="25"/>
  <c r="F663" i="25"/>
  <c r="E637" i="25"/>
  <c r="F623" i="25"/>
  <c r="E597" i="25"/>
  <c r="F583" i="25"/>
  <c r="E556" i="25"/>
  <c r="F542" i="25"/>
  <c r="E515" i="25"/>
  <c r="F501" i="25"/>
  <c r="E475" i="25"/>
  <c r="F461" i="25"/>
  <c r="E435" i="25"/>
  <c r="F421" i="25"/>
  <c r="E395" i="25"/>
  <c r="F381" i="25"/>
  <c r="F996" i="25" l="1"/>
  <c r="F997" i="25" s="1"/>
  <c r="F956" i="25"/>
  <c r="F957" i="25" s="1"/>
  <c r="F475" i="25"/>
  <c r="F476" i="25" s="1"/>
  <c r="F395" i="25"/>
  <c r="F396" i="25" s="1"/>
  <c r="F916" i="25"/>
  <c r="F917" i="25" s="1"/>
  <c r="F717" i="25"/>
  <c r="F718" i="25" s="1"/>
  <c r="F797" i="25"/>
  <c r="F798" i="25" s="1"/>
  <c r="F838" i="25"/>
  <c r="F677" i="25"/>
  <c r="F678" i="25" s="1"/>
  <c r="F757" i="25"/>
  <c r="F758" i="25" s="1"/>
  <c r="F878" i="25"/>
  <c r="F879" i="25" s="1"/>
  <c r="F839" i="25"/>
  <c r="F556" i="25"/>
  <c r="F557" i="25" s="1"/>
  <c r="F637" i="25"/>
  <c r="F435" i="25"/>
  <c r="F436" i="25" s="1"/>
  <c r="F515" i="25"/>
  <c r="F516" i="25" s="1"/>
  <c r="F597" i="25"/>
  <c r="F598" i="25" s="1"/>
  <c r="F638" i="25"/>
  <c r="E355" i="25"/>
  <c r="F341" i="25"/>
  <c r="E315" i="25"/>
  <c r="F301" i="25"/>
  <c r="E276" i="25"/>
  <c r="F262" i="25"/>
  <c r="E235" i="25"/>
  <c r="F221" i="25"/>
  <c r="E195" i="25"/>
  <c r="F181" i="25"/>
  <c r="E155" i="25"/>
  <c r="F141" i="25"/>
  <c r="E115" i="25"/>
  <c r="F101" i="25"/>
  <c r="E75" i="25"/>
  <c r="F61" i="25"/>
  <c r="E35" i="25"/>
  <c r="F21" i="25"/>
  <c r="E485" i="24"/>
  <c r="F471" i="24"/>
  <c r="E444" i="24"/>
  <c r="F430" i="24"/>
  <c r="F403" i="24"/>
  <c r="E403" i="24"/>
  <c r="F389" i="24"/>
  <c r="E362" i="24"/>
  <c r="F348" i="24"/>
  <c r="E321" i="24"/>
  <c r="F307" i="24"/>
  <c r="E280" i="24"/>
  <c r="F266" i="24"/>
  <c r="E240" i="24"/>
  <c r="F226" i="24"/>
  <c r="E199" i="24"/>
  <c r="F185" i="24"/>
  <c r="E158" i="24"/>
  <c r="F144" i="24"/>
  <c r="E117" i="24"/>
  <c r="F103" i="24"/>
  <c r="E76" i="24"/>
  <c r="F62" i="24"/>
  <c r="E35" i="24"/>
  <c r="F21" i="24"/>
  <c r="E307" i="23"/>
  <c r="F293" i="23"/>
  <c r="E268" i="23"/>
  <c r="F254" i="23"/>
  <c r="F215" i="23"/>
  <c r="E229" i="23"/>
  <c r="E189" i="23"/>
  <c r="F175" i="23"/>
  <c r="E150" i="23"/>
  <c r="F136" i="23"/>
  <c r="E111" i="23"/>
  <c r="F97" i="23"/>
  <c r="E72" i="23"/>
  <c r="F58" i="23"/>
  <c r="E33" i="23"/>
  <c r="F19" i="23"/>
  <c r="E151" i="22"/>
  <c r="F137" i="22"/>
  <c r="E110" i="22"/>
  <c r="F96" i="22"/>
  <c r="E72" i="22"/>
  <c r="F58" i="22"/>
  <c r="E33" i="22"/>
  <c r="F19" i="22"/>
  <c r="F36" i="18"/>
  <c r="E78" i="18"/>
  <c r="F64" i="18"/>
  <c r="E36" i="18"/>
  <c r="F22" i="18"/>
  <c r="E31" i="17"/>
  <c r="F16" i="17"/>
  <c r="F286" i="19"/>
  <c r="E286" i="19"/>
  <c r="F272" i="19"/>
  <c r="E244" i="19"/>
  <c r="F230" i="19"/>
  <c r="F202" i="19"/>
  <c r="E202" i="19"/>
  <c r="F188" i="19"/>
  <c r="E158" i="19"/>
  <c r="F144" i="19"/>
  <c r="E117" i="19"/>
  <c r="F103" i="19"/>
  <c r="F61" i="19"/>
  <c r="E75" i="19"/>
  <c r="E35" i="19"/>
  <c r="F21" i="19"/>
  <c r="E963" i="20"/>
  <c r="F949" i="20"/>
  <c r="E920" i="20"/>
  <c r="F906" i="20"/>
  <c r="E877" i="20"/>
  <c r="F863" i="20"/>
  <c r="E835" i="20"/>
  <c r="F821" i="20"/>
  <c r="E794" i="20"/>
  <c r="F780" i="20"/>
  <c r="E752" i="20"/>
  <c r="F738" i="20"/>
  <c r="E709" i="20"/>
  <c r="F695" i="20"/>
  <c r="E668" i="20"/>
  <c r="F654" i="20"/>
  <c r="E625" i="20"/>
  <c r="F611" i="20"/>
  <c r="E584" i="20"/>
  <c r="F570" i="20"/>
  <c r="E542" i="20"/>
  <c r="F528" i="20"/>
  <c r="E500" i="20"/>
  <c r="F486" i="20"/>
  <c r="E457" i="20"/>
  <c r="F443" i="20"/>
  <c r="E416" i="20"/>
  <c r="F402" i="20"/>
  <c r="E373" i="20"/>
  <c r="F359" i="20"/>
  <c r="E331" i="20"/>
  <c r="F317" i="20"/>
  <c r="E289" i="20"/>
  <c r="F275" i="20"/>
  <c r="E247" i="20"/>
  <c r="F233" i="20"/>
  <c r="E205" i="20"/>
  <c r="F191" i="20"/>
  <c r="E162" i="20"/>
  <c r="F162" i="20" s="1"/>
  <c r="F148" i="20"/>
  <c r="E121" i="20"/>
  <c r="F121" i="20" s="1"/>
  <c r="F107" i="20"/>
  <c r="E79" i="20"/>
  <c r="F64" i="20"/>
  <c r="E37" i="20"/>
  <c r="F22" i="20"/>
  <c r="E205" i="21"/>
  <c r="F190" i="21"/>
  <c r="E161" i="21"/>
  <c r="F146" i="21"/>
  <c r="E119" i="21"/>
  <c r="F104" i="21"/>
  <c r="F77" i="21"/>
  <c r="E77" i="21"/>
  <c r="F62" i="21"/>
  <c r="E34" i="21"/>
  <c r="F19" i="21"/>
  <c r="F161" i="21" l="1"/>
  <c r="F162" i="21" s="1"/>
  <c r="F119" i="21"/>
  <c r="F120" i="21" s="1"/>
  <c r="F485" i="24"/>
  <c r="F486" i="24" s="1"/>
  <c r="F444" i="24"/>
  <c r="F445" i="24" s="1"/>
  <c r="F362" i="24"/>
  <c r="F321" i="24"/>
  <c r="F244" i="19"/>
  <c r="F963" i="20"/>
  <c r="F964" i="20" s="1"/>
  <c r="F920" i="20"/>
  <c r="F877" i="20"/>
  <c r="F835" i="20"/>
  <c r="F794" i="20"/>
  <c r="F752" i="20"/>
  <c r="F709" i="20"/>
  <c r="F542" i="20"/>
  <c r="F355" i="25"/>
  <c r="F356" i="25" s="1"/>
  <c r="F75" i="25"/>
  <c r="F76" i="25" s="1"/>
  <c r="F155" i="25"/>
  <c r="F156" i="25" s="1"/>
  <c r="F235" i="25"/>
  <c r="F236" i="25" s="1"/>
  <c r="F276" i="25"/>
  <c r="F277" i="25" s="1"/>
  <c r="F115" i="25"/>
  <c r="F116" i="25" s="1"/>
  <c r="F195" i="25"/>
  <c r="F196" i="25" s="1"/>
  <c r="F315" i="25"/>
  <c r="F316" i="25" s="1"/>
  <c r="F35" i="25"/>
  <c r="F36" i="25" s="1"/>
  <c r="F404" i="24"/>
  <c r="F363" i="24"/>
  <c r="F322" i="24"/>
  <c r="F117" i="24"/>
  <c r="F118" i="24" s="1"/>
  <c r="F240" i="24"/>
  <c r="F241" i="24" s="1"/>
  <c r="F199" i="24"/>
  <c r="F200" i="24" s="1"/>
  <c r="F76" i="24"/>
  <c r="F77" i="24" s="1"/>
  <c r="F158" i="24"/>
  <c r="F159" i="24" s="1"/>
  <c r="F280" i="24"/>
  <c r="F281" i="24" s="1"/>
  <c r="F35" i="24"/>
  <c r="F36" i="24" s="1"/>
  <c r="F307" i="23"/>
  <c r="F308" i="23" s="1"/>
  <c r="F33" i="23"/>
  <c r="F34" i="23" s="1"/>
  <c r="F111" i="23"/>
  <c r="F112" i="23" s="1"/>
  <c r="F72" i="23"/>
  <c r="F73" i="23" s="1"/>
  <c r="F229" i="23"/>
  <c r="F230" i="23" s="1"/>
  <c r="F150" i="23"/>
  <c r="F151" i="23" s="1"/>
  <c r="F189" i="23"/>
  <c r="F190" i="23" s="1"/>
  <c r="F268" i="23"/>
  <c r="F269" i="23" s="1"/>
  <c r="F110" i="22"/>
  <c r="F111" i="22" s="1"/>
  <c r="F151" i="22"/>
  <c r="F152" i="22" s="1"/>
  <c r="F33" i="22"/>
  <c r="F34" i="22" s="1"/>
  <c r="F72" i="22"/>
  <c r="F73" i="22" s="1"/>
  <c r="F78" i="18"/>
  <c r="F79" i="18" s="1"/>
  <c r="F37" i="18"/>
  <c r="F31" i="17"/>
  <c r="F32" i="17" s="1"/>
  <c r="F287" i="19"/>
  <c r="F245" i="19"/>
  <c r="F203" i="19"/>
  <c r="F75" i="19"/>
  <c r="F76" i="19" s="1"/>
  <c r="F117" i="19"/>
  <c r="F118" i="19" s="1"/>
  <c r="F158" i="19"/>
  <c r="F159" i="19" s="1"/>
  <c r="F35" i="19"/>
  <c r="F36" i="19" s="1"/>
  <c r="F921" i="20"/>
  <c r="F878" i="20"/>
  <c r="F836" i="20"/>
  <c r="F795" i="20"/>
  <c r="F753" i="20"/>
  <c r="F668" i="20"/>
  <c r="F669" i="20" s="1"/>
  <c r="F710" i="20"/>
  <c r="F500" i="20"/>
  <c r="F501" i="20" s="1"/>
  <c r="F625" i="20"/>
  <c r="F626" i="20" s="1"/>
  <c r="F584" i="20"/>
  <c r="F585" i="20" s="1"/>
  <c r="F543" i="20"/>
  <c r="F206" i="20"/>
  <c r="F331" i="20"/>
  <c r="F332" i="20" s="1"/>
  <c r="F416" i="20"/>
  <c r="F417" i="20" s="1"/>
  <c r="F248" i="20"/>
  <c r="F289" i="20"/>
  <c r="F290" i="20" s="1"/>
  <c r="F457" i="20"/>
  <c r="F458" i="20" s="1"/>
  <c r="F374" i="20"/>
  <c r="F163" i="20"/>
  <c r="F79" i="20"/>
  <c r="F80" i="20" s="1"/>
  <c r="F122" i="20"/>
  <c r="F37" i="20"/>
  <c r="F38" i="20" s="1"/>
  <c r="F205" i="21"/>
  <c r="F206" i="21" s="1"/>
  <c r="F78" i="21"/>
  <c r="F34" i="21"/>
  <c r="F35" i="21" s="1"/>
  <c r="E34" i="16"/>
  <c r="F19" i="16"/>
  <c r="E34" i="15"/>
  <c r="F19" i="15"/>
  <c r="E36" i="4"/>
  <c r="F21" i="4"/>
  <c r="E591" i="13"/>
  <c r="F577" i="13"/>
  <c r="E549" i="13"/>
  <c r="F534" i="13"/>
  <c r="E506" i="13"/>
  <c r="F491" i="13"/>
  <c r="E463" i="13"/>
  <c r="F448" i="13"/>
  <c r="F407" i="13"/>
  <c r="E420" i="13"/>
  <c r="F405" i="13"/>
  <c r="E378" i="13"/>
  <c r="F363" i="13"/>
  <c r="E335" i="13"/>
  <c r="F320" i="13"/>
  <c r="E292" i="13"/>
  <c r="F277" i="13"/>
  <c r="E249" i="13"/>
  <c r="F234" i="13"/>
  <c r="E206" i="13"/>
  <c r="F191" i="13"/>
  <c r="E164" i="13"/>
  <c r="F149" i="13"/>
  <c r="E121" i="13"/>
  <c r="F106" i="13"/>
  <c r="E78" i="13"/>
  <c r="F63" i="13"/>
  <c r="E36" i="13"/>
  <c r="F21" i="13"/>
  <c r="E168" i="14"/>
  <c r="F153" i="14"/>
  <c r="E125" i="14"/>
  <c r="F110" i="14"/>
  <c r="E82" i="14"/>
  <c r="F67" i="14"/>
  <c r="E37" i="14"/>
  <c r="F22" i="14"/>
  <c r="E1202" i="12"/>
  <c r="F1187" i="12"/>
  <c r="E1159" i="12"/>
  <c r="F1144" i="12"/>
  <c r="E1116" i="12"/>
  <c r="F1102" i="12"/>
  <c r="E1076" i="12"/>
  <c r="F1061" i="12"/>
  <c r="E1035" i="12"/>
  <c r="F1020" i="12"/>
  <c r="E994" i="12"/>
  <c r="F979" i="12"/>
  <c r="E952" i="12"/>
  <c r="F938" i="12"/>
  <c r="E912" i="12"/>
  <c r="F897" i="12"/>
  <c r="E871" i="12"/>
  <c r="F856" i="12"/>
  <c r="E830" i="12"/>
  <c r="F815" i="12"/>
  <c r="E789" i="12"/>
  <c r="F774" i="12"/>
  <c r="E748" i="12"/>
  <c r="F733" i="12"/>
  <c r="E706" i="12"/>
  <c r="F692" i="12"/>
  <c r="E666" i="12"/>
  <c r="F651" i="12"/>
  <c r="E623" i="12"/>
  <c r="F608" i="12"/>
  <c r="E581" i="12"/>
  <c r="F566" i="12"/>
  <c r="E539" i="12"/>
  <c r="F526" i="12"/>
  <c r="E499" i="12"/>
  <c r="F482" i="12"/>
  <c r="E455" i="12"/>
  <c r="F440" i="12"/>
  <c r="E413" i="12"/>
  <c r="F399" i="12"/>
  <c r="E372" i="12"/>
  <c r="F357" i="12"/>
  <c r="E330" i="12"/>
  <c r="F315" i="12"/>
  <c r="E288" i="12"/>
  <c r="F273" i="12"/>
  <c r="E246" i="12"/>
  <c r="F231" i="12"/>
  <c r="E204" i="12"/>
  <c r="F189" i="12"/>
  <c r="E162" i="12"/>
  <c r="F147" i="12"/>
  <c r="E120" i="12"/>
  <c r="F105" i="12"/>
  <c r="E78" i="12"/>
  <c r="F63" i="12"/>
  <c r="E36" i="12"/>
  <c r="F21" i="12"/>
  <c r="E249" i="11"/>
  <c r="F234" i="11"/>
  <c r="E206" i="11"/>
  <c r="F191" i="11"/>
  <c r="E163" i="11"/>
  <c r="F148" i="11"/>
  <c r="E121" i="11"/>
  <c r="F106" i="11"/>
  <c r="E79" i="11"/>
  <c r="F64" i="11"/>
  <c r="E37" i="11"/>
  <c r="F22" i="11"/>
  <c r="E338" i="8"/>
  <c r="F321" i="8"/>
  <c r="E293" i="8"/>
  <c r="F278" i="8"/>
  <c r="E251" i="8"/>
  <c r="F236" i="8"/>
  <c r="F151" i="8"/>
  <c r="E166" i="8"/>
  <c r="E208" i="8"/>
  <c r="F192" i="8"/>
  <c r="E125" i="8"/>
  <c r="F110" i="8"/>
  <c r="E83" i="8"/>
  <c r="F66" i="8"/>
  <c r="F21" i="8"/>
  <c r="E331" i="9"/>
  <c r="F316" i="9"/>
  <c r="E289" i="9"/>
  <c r="F274" i="9"/>
  <c r="F247" i="9"/>
  <c r="E247" i="9"/>
  <c r="F233" i="9"/>
  <c r="E206" i="9"/>
  <c r="F191" i="9"/>
  <c r="E164" i="9"/>
  <c r="F149" i="9"/>
  <c r="E121" i="9"/>
  <c r="F106" i="9"/>
  <c r="E79" i="9"/>
  <c r="F64" i="9"/>
  <c r="E36" i="9"/>
  <c r="F21" i="9"/>
  <c r="F105" i="10"/>
  <c r="E78" i="10"/>
  <c r="F63" i="10"/>
  <c r="E36" i="10"/>
  <c r="F21" i="10"/>
  <c r="E333" i="5"/>
  <c r="F319" i="5"/>
  <c r="E292" i="5"/>
  <c r="F277" i="5"/>
  <c r="E250" i="5"/>
  <c r="F236" i="5"/>
  <c r="F194" i="5"/>
  <c r="E209" i="5"/>
  <c r="E167" i="5"/>
  <c r="F152" i="5"/>
  <c r="E124" i="5"/>
  <c r="F109" i="5"/>
  <c r="E81" i="5"/>
  <c r="F66" i="5"/>
  <c r="E38" i="5"/>
  <c r="F23" i="5"/>
  <c r="E365" i="6"/>
  <c r="F350" i="6"/>
  <c r="E322" i="6"/>
  <c r="F307" i="6"/>
  <c r="E281" i="6"/>
  <c r="F266" i="6"/>
  <c r="E240" i="6"/>
  <c r="F225" i="6"/>
  <c r="E199" i="6"/>
  <c r="F184" i="6"/>
  <c r="E158" i="6"/>
  <c r="F143" i="6"/>
  <c r="E76" i="6"/>
  <c r="F62" i="6"/>
  <c r="E35" i="6"/>
  <c r="F21" i="6"/>
  <c r="E33" i="3"/>
  <c r="F18" i="3"/>
  <c r="E453" i="2"/>
  <c r="F438" i="2"/>
  <c r="E411" i="2"/>
  <c r="F396" i="2"/>
  <c r="E368" i="2"/>
  <c r="F353" i="2"/>
  <c r="E326" i="2"/>
  <c r="F312" i="2"/>
  <c r="E283" i="2"/>
  <c r="F268" i="2"/>
  <c r="E242" i="2"/>
  <c r="F227" i="2"/>
  <c r="E201" i="2"/>
  <c r="F185" i="2"/>
  <c r="F158" i="2"/>
  <c r="E159" i="2"/>
  <c r="F144" i="2"/>
  <c r="E118" i="2"/>
  <c r="F103" i="2"/>
  <c r="E77" i="2"/>
  <c r="F63" i="2"/>
  <c r="E37" i="2"/>
  <c r="F23" i="2"/>
  <c r="E165" i="1"/>
  <c r="F148" i="1"/>
  <c r="E118" i="1"/>
  <c r="F105" i="1"/>
  <c r="E76" i="1"/>
  <c r="F61" i="1"/>
  <c r="F168" i="14" l="1"/>
  <c r="F169" i="14" s="1"/>
  <c r="F463" i="13"/>
  <c r="F591" i="13"/>
  <c r="F592" i="13" s="1"/>
  <c r="F549" i="13"/>
  <c r="F550" i="13" s="1"/>
  <c r="F506" i="13"/>
  <c r="F507" i="13" s="1"/>
  <c r="F36" i="10"/>
  <c r="F37" i="10" s="1"/>
  <c r="F78" i="10"/>
  <c r="F79" i="10" s="1"/>
  <c r="F120" i="10"/>
  <c r="F121" i="10" s="1"/>
  <c r="F994" i="12"/>
  <c r="F995" i="12" s="1"/>
  <c r="F871" i="12"/>
  <c r="F872" i="12" s="1"/>
  <c r="F1202" i="12"/>
  <c r="F1203" i="12" s="1"/>
  <c r="F1076" i="12"/>
  <c r="F1077" i="12" s="1"/>
  <c r="F952" i="12"/>
  <c r="F953" i="12" s="1"/>
  <c r="F1116" i="12"/>
  <c r="F1117" i="12" s="1"/>
  <c r="F249" i="11"/>
  <c r="F250" i="11" s="1"/>
  <c r="F206" i="11"/>
  <c r="F207" i="11" s="1"/>
  <c r="F163" i="11"/>
  <c r="F164" i="11" s="1"/>
  <c r="F121" i="11"/>
  <c r="F122" i="11" s="1"/>
  <c r="F208" i="8"/>
  <c r="F209" i="8" s="1"/>
  <c r="F251" i="8"/>
  <c r="F252" i="8" s="1"/>
  <c r="F293" i="8"/>
  <c r="F294" i="8" s="1"/>
  <c r="F338" i="8"/>
  <c r="F339" i="8" s="1"/>
  <c r="F166" i="8"/>
  <c r="F167" i="8" s="1"/>
  <c r="F125" i="14"/>
  <c r="F126" i="14" s="1"/>
  <c r="F82" i="14"/>
  <c r="F37" i="14"/>
  <c r="F38" i="14" s="1"/>
  <c r="F289" i="9"/>
  <c r="F290" i="9" s="1"/>
  <c r="F331" i="9"/>
  <c r="F332" i="9" s="1"/>
  <c r="F167" i="5"/>
  <c r="F168" i="5" s="1"/>
  <c r="F333" i="5"/>
  <c r="F334" i="5" s="1"/>
  <c r="F292" i="5"/>
  <c r="F293" i="5" s="1"/>
  <c r="F250" i="5"/>
  <c r="F251" i="5" s="1"/>
  <c r="F365" i="6"/>
  <c r="F366" i="6" s="1"/>
  <c r="F76" i="6"/>
  <c r="F77" i="6" s="1"/>
  <c r="F240" i="6"/>
  <c r="F241" i="6" s="1"/>
  <c r="F281" i="6"/>
  <c r="F282" i="6" s="1"/>
  <c r="F322" i="6"/>
  <c r="F323" i="6" s="1"/>
  <c r="F76" i="1"/>
  <c r="F77" i="1" s="1"/>
  <c r="F34" i="16"/>
  <c r="F35" i="16" s="1"/>
  <c r="F34" i="15"/>
  <c r="F35" i="15" s="1"/>
  <c r="F36" i="4"/>
  <c r="F37" i="4" s="1"/>
  <c r="F464" i="13"/>
  <c r="F378" i="13"/>
  <c r="F379" i="13" s="1"/>
  <c r="F335" i="13"/>
  <c r="F336" i="13" s="1"/>
  <c r="F420" i="13"/>
  <c r="F421" i="13" s="1"/>
  <c r="F292" i="13"/>
  <c r="F293" i="13" s="1"/>
  <c r="F249" i="13"/>
  <c r="F250" i="13" s="1"/>
  <c r="F121" i="13"/>
  <c r="F122" i="13" s="1"/>
  <c r="F164" i="13"/>
  <c r="F165" i="13" s="1"/>
  <c r="F36" i="13"/>
  <c r="F37" i="13" s="1"/>
  <c r="F206" i="13"/>
  <c r="F207" i="13" s="1"/>
  <c r="F78" i="13"/>
  <c r="F79" i="13" s="1"/>
  <c r="F83" i="14"/>
  <c r="F1159" i="12"/>
  <c r="F1160" i="12" s="1"/>
  <c r="F1035" i="12"/>
  <c r="F1036" i="12" s="1"/>
  <c r="F912" i="12"/>
  <c r="F913" i="12" s="1"/>
  <c r="F830" i="12"/>
  <c r="F831" i="12" s="1"/>
  <c r="F789" i="12"/>
  <c r="F790" i="12" s="1"/>
  <c r="F748" i="12"/>
  <c r="F749" i="12" s="1"/>
  <c r="F246" i="12"/>
  <c r="F247" i="12" s="1"/>
  <c r="F372" i="12"/>
  <c r="F373" i="12" s="1"/>
  <c r="F162" i="12"/>
  <c r="F163" i="12" s="1"/>
  <c r="F330" i="12"/>
  <c r="F331" i="12" s="1"/>
  <c r="F499" i="12"/>
  <c r="F500" i="12" s="1"/>
  <c r="F666" i="12"/>
  <c r="F667" i="12" s="1"/>
  <c r="F120" i="12"/>
  <c r="F121" i="12" s="1"/>
  <c r="F288" i="12"/>
  <c r="F289" i="12" s="1"/>
  <c r="F455" i="12"/>
  <c r="F456" i="12" s="1"/>
  <c r="F623" i="12"/>
  <c r="F624" i="12" s="1"/>
  <c r="F204" i="12"/>
  <c r="F205" i="12" s="1"/>
  <c r="F539" i="12"/>
  <c r="F540" i="12" s="1"/>
  <c r="F706" i="12"/>
  <c r="F707" i="12" s="1"/>
  <c r="F413" i="12"/>
  <c r="F414" i="12" s="1"/>
  <c r="F581" i="12"/>
  <c r="F582" i="12" s="1"/>
  <c r="F78" i="12"/>
  <c r="F79" i="12" s="1"/>
  <c r="F36" i="12"/>
  <c r="F37" i="12" s="1"/>
  <c r="F37" i="11"/>
  <c r="F38" i="11" s="1"/>
  <c r="F79" i="11"/>
  <c r="F80" i="11" s="1"/>
  <c r="F125" i="8"/>
  <c r="F126" i="8" s="1"/>
  <c r="F83" i="8"/>
  <c r="F84" i="8" s="1"/>
  <c r="F39" i="8"/>
  <c r="F40" i="8" s="1"/>
  <c r="F248" i="9"/>
  <c r="F164" i="9"/>
  <c r="F165" i="9" s="1"/>
  <c r="F206" i="9"/>
  <c r="F207" i="9" s="1"/>
  <c r="F36" i="9"/>
  <c r="F37" i="9" s="1"/>
  <c r="F121" i="9"/>
  <c r="F122" i="9" s="1"/>
  <c r="F79" i="9"/>
  <c r="F80" i="9" s="1"/>
  <c r="F124" i="5"/>
  <c r="F125" i="5" s="1"/>
  <c r="F209" i="5"/>
  <c r="F210" i="5" s="1"/>
  <c r="F81" i="5"/>
  <c r="F82" i="5" s="1"/>
  <c r="F38" i="5"/>
  <c r="F39" i="5" s="1"/>
  <c r="F158" i="6"/>
  <c r="F159" i="6" s="1"/>
  <c r="F199" i="6"/>
  <c r="F200" i="6" s="1"/>
  <c r="F35" i="6"/>
  <c r="F36" i="6" s="1"/>
  <c r="F33" i="3"/>
  <c r="F34" i="3" s="1"/>
  <c r="F411" i="2"/>
  <c r="F412" i="2" s="1"/>
  <c r="F453" i="2"/>
  <c r="F454" i="2" s="1"/>
  <c r="F326" i="2"/>
  <c r="F327" i="2" s="1"/>
  <c r="F118" i="2"/>
  <c r="F119" i="2" s="1"/>
  <c r="F283" i="2"/>
  <c r="F284" i="2" s="1"/>
  <c r="F368" i="2"/>
  <c r="F369" i="2" s="1"/>
  <c r="F201" i="2"/>
  <c r="F202" i="2" s="1"/>
  <c r="F159" i="2"/>
  <c r="F160" i="2" s="1"/>
  <c r="F242" i="2"/>
  <c r="F243" i="2" s="1"/>
  <c r="F77" i="2"/>
  <c r="F78" i="2" s="1"/>
  <c r="F37" i="2"/>
  <c r="F38" i="2" s="1"/>
  <c r="F118" i="1"/>
  <c r="F119" i="1" s="1"/>
  <c r="F165" i="1"/>
  <c r="F166" i="1" s="1"/>
  <c r="E33" i="1"/>
  <c r="F22" i="1"/>
  <c r="F33" i="1" l="1"/>
  <c r="F34" i="1" s="1"/>
</calcChain>
</file>

<file path=xl/sharedStrings.xml><?xml version="1.0" encoding="utf-8"?>
<sst xmlns="http://schemas.openxmlformats.org/spreadsheetml/2006/main" count="9903" uniqueCount="461">
  <si>
    <t>на 2016-2017 год</t>
  </si>
  <si>
    <t>перечень работ по содержанию и текущему ремонту общего имущества, необходимых для поддержания дома в технически исправном состоянии</t>
  </si>
  <si>
    <t>Наименование элементов затрат</t>
  </si>
  <si>
    <t>объем работ</t>
  </si>
  <si>
    <t>ед. изм.</t>
  </si>
  <si>
    <t>тариф(руб) на 1м2 общ. Площ.</t>
  </si>
  <si>
    <t>Содержание общего имущества</t>
  </si>
  <si>
    <t>Аварийно-диспетчерское обслуживание</t>
  </si>
  <si>
    <t>Вывоз твердых бытовых отходов</t>
  </si>
  <si>
    <t>Обслуживание внутридомовых сетей электроснабжения</t>
  </si>
  <si>
    <t>Предлагаемый собственникам помещений многоквартирного дома  г.Бор ул. Баринова д.2</t>
  </si>
  <si>
    <t>Обслуживание внутридомовых сетей водоснабжения</t>
  </si>
  <si>
    <t>Обслуживание внутридомовых сетей водоотведения</t>
  </si>
  <si>
    <t>Обслуживание внутридомовых сетей газоснабжения</t>
  </si>
  <si>
    <t>Обслуживание внутридомовых сетей цен. Отопления</t>
  </si>
  <si>
    <t>Периодическая проверка вентканалов и дымоходов</t>
  </si>
  <si>
    <t>Проведение плановых и внеплановых осмотров строительных конструкций</t>
  </si>
  <si>
    <t>Проведение электро-измерительных работ</t>
  </si>
  <si>
    <t>Уборка придомовой территории</t>
  </si>
  <si>
    <t>Услуги управляющей компании</t>
  </si>
  <si>
    <t>ИТОГО</t>
  </si>
  <si>
    <t>Текущий ремонт</t>
  </si>
  <si>
    <t>ВСЕГО по дому</t>
  </si>
  <si>
    <t>Генеральный директор ООО ДУК "Стеклозаводец -Бор"</t>
  </si>
  <si>
    <t>А.Г.Смирнов</t>
  </si>
  <si>
    <t>площадь дома</t>
  </si>
  <si>
    <t>м2</t>
  </si>
  <si>
    <t>Предлагаемый собственникам помещений многоквартирного дома  г.Бор ул. Баринова д.3</t>
  </si>
  <si>
    <t>Предлагаемый собственникам помещений многоквартирного дома  г.Бор ул. Баринова д.4</t>
  </si>
  <si>
    <t>Предлагаемый собственникам помещений многоквартирного дома  г.Бор ул. Баринова д.5</t>
  </si>
  <si>
    <t>Дератизация подвалов</t>
  </si>
  <si>
    <t>Предлагаемый собственникам помещений многоквартирного дома  г.Бор ул. В.Котика д.1а</t>
  </si>
  <si>
    <t>Предлагаемый собственникам помещений многоквартирного дома  г.Бор ул. В.Котика д.2</t>
  </si>
  <si>
    <t>Предлагаемый собственникам помещений многоквартирного дома  г.Бор ул. В.Котика д.4</t>
  </si>
  <si>
    <t>Предлагаемый собственникам помещений многоквартирного дома  г.Бор ул. В.Котика д.4а</t>
  </si>
  <si>
    <t>Предлагаемый собственникам помещений многоквартирного дома  г.Бор ул. В.Котика д.5</t>
  </si>
  <si>
    <t>Предлагаемый собственникам помещений многоквартирного дома  г.Бор ул. В.Котика д.6</t>
  </si>
  <si>
    <t>Предлагаемый собственникам помещений многоквартирного дома  г.Бор ул. В.Котика д.7</t>
  </si>
  <si>
    <t>Предлагаемый собственникам помещений многоквартирного дома  г.Бор ул. В.Котика д.9</t>
  </si>
  <si>
    <t>Предлагаемый собственникам помещений многоквартирного дома  г.Бор ул. В.Котика д.18</t>
  </si>
  <si>
    <t>Предлагаемый собственникам помещений многоквартирного дома  г.Бор ул. Задолье д.65а</t>
  </si>
  <si>
    <t>Предлагаемый собственникам помещений многоквартирного дома  г.Бор ул. Западная д.11</t>
  </si>
  <si>
    <t>Предлагаемый собственникам помещений многоквартирного дома  г.Бор ул. Западная д.13</t>
  </si>
  <si>
    <t>Предлагаемый собственникам помещений многоквартирного дома  г.Бор ул. Западная д.14</t>
  </si>
  <si>
    <t>Предлагаемый собственникам помещений многоквартирного дома  г.Бор ул. Западная д.15</t>
  </si>
  <si>
    <t>Предлагаемый собственникам помещений многоквартирного дома  г.Бор ул. Западная д.16</t>
  </si>
  <si>
    <t>Предлагаемый собственникам помещений многоквартирного дома  г.Бор ул. Западная д.17</t>
  </si>
  <si>
    <t>Предлагаемый собственникам помещений многоквартирного дома  г.Бор ул. Западная д.18</t>
  </si>
  <si>
    <t>Предлагаемый собственникам помещений многоквартирного дома  г.Бор ул.Западная д.19</t>
  </si>
  <si>
    <t>Предлагаемый собственникам помещений многоквартирного дома  г.Бор ул.Коммунистическая д.13</t>
  </si>
  <si>
    <t>Предлагаемый собственникам помещений многоквартирного дома  г.Бор ул.Коммунистическая д.13а</t>
  </si>
  <si>
    <t>Предлагаемый собственникам помещений многоквартирного дома  г.Бор ул.Коммунистическая д.15</t>
  </si>
  <si>
    <t>Предлагаемый собственникам помещений многоквартирного дома  г.Бор ул.Коммунистическая д.30</t>
  </si>
  <si>
    <t>Предлагаемый собственникам помещений многоквартирного дома  г.Бор ул.Коммунистическая д.4</t>
  </si>
  <si>
    <t>Предлагаемый собственникам помещений многоквартирного дома  г.Бор ул.Коммунистическая д.6</t>
  </si>
  <si>
    <t>Предлагаемый собственникам помещений многоквартирного дома  г.Бор ул.Коммунистическая д.7</t>
  </si>
  <si>
    <t>Предлагаемый собственникам помещений многоквартирного дома  г.Бор ул.Коммунистическая д.9</t>
  </si>
  <si>
    <t>Предлагаемый собственникам помещений многоквартирного дома  г.Бор пер.Лихачева д.1</t>
  </si>
  <si>
    <t>Предлагаемый собственникам помещений многоквартирного дома  г.Бор пер.Лихачева д.2</t>
  </si>
  <si>
    <t>Предлагаемый собственникам помещений многоквартирного дома  г.Бор пер.Лихачева д.3</t>
  </si>
  <si>
    <t>Предлагаемый собственникам помещений многоквартирного дома  г.Бор ул.Лихачева д.1а</t>
  </si>
  <si>
    <t>Предлагаемый собственникам помещений многоквартирного дома  г.Бор ул.Лихачева д.1б</t>
  </si>
  <si>
    <t>Предлагаемый собственникам помещений многоквартирного дома  г.Бор ул.Лихачева д.2а</t>
  </si>
  <si>
    <t>Предлагаемый собственникам помещений многоквартирного дома  г.Бор ул.Лихачева д.2б</t>
  </si>
  <si>
    <t>Предлагаемый собственникам помещений многоквартирного дома  г.Бор ул.Лихачева д.3а</t>
  </si>
  <si>
    <t>Предлагаемый собственникам помещений многоквартирного дома  г.Бор ул.Лихачева д.4а</t>
  </si>
  <si>
    <t>Предлагаемый собственникам помещений многоквартирного дома  г.Бор ул.Лихачева д.6а</t>
  </si>
  <si>
    <t>Предлагаемый собственникам помещений многоквартирного дома  г.Бор ул.Лихачева д.7а</t>
  </si>
  <si>
    <t>Предлагаемый собственникам помещений многоквартирного дома  г.Бор ул.Максимова д.6</t>
  </si>
  <si>
    <t>Предлагаемый собственникам помещений многоквартирного дома  г.Бор ул.Максимова д.8</t>
  </si>
  <si>
    <t>Предлагаемый собственникам помещений многоквартирного дома  г.Бор ул.Максимова д.10</t>
  </si>
  <si>
    <t>Предлагаемый собственникам помещений многоквартирного дома  г.Бор ул.Максимова д.12</t>
  </si>
  <si>
    <t>Предлагаемый собственникам помещений многоквартирного дома  г.Бор ул.Максимова д.16</t>
  </si>
  <si>
    <t>Предлагаемый собственникам помещений многоквартирного дома  г.Бор ул.Максимова д.18</t>
  </si>
  <si>
    <t>Предлагаемый собственникам помещений многоквартирного дома  г.Бор ул.Максимова д.20</t>
  </si>
  <si>
    <t>Предлагаемый собственникам помещений многоквартирного дома  г.Бор ул.Максимова д.22</t>
  </si>
  <si>
    <t>Предлагаемый собственникам помещений многоквартирного дома  г.Бор ул.Махалова д.1</t>
  </si>
  <si>
    <t>Предлагаемый собственникам помещений многоквартирного дома  г.Бор ул.Махалова д.2</t>
  </si>
  <si>
    <t>Предлагаемый собственникам помещений многоквартирного дома  г.Бор ул.Махалова д.4</t>
  </si>
  <si>
    <t>Предлагаемый собственникам помещений многоквартирного дома  г.Бор ул.Махалова д.5</t>
  </si>
  <si>
    <t>Предлагаемый собственникам помещений многоквартирного дома  г.Бор ул.Махалова д.6</t>
  </si>
  <si>
    <t>Предлагаемый собственникам помещений многоквартирного дома  г.Бор ул.Махалова д.9</t>
  </si>
  <si>
    <t>Предлагаемый собственникам помещений многоквартирного дома  г.Бор ул.Махалова д.10</t>
  </si>
  <si>
    <t>Предлагаемый собственникам помещений многоквартирного дома  г.Бор ул.Махалова д.11</t>
  </si>
  <si>
    <t>Предлагаемый собственникам помещений многоквартирного дома  г.Бор ул.Махалова д.12</t>
  </si>
  <si>
    <t>Предлагаемый собственникам помещений многоквартирного дома  г.Бор ул.Махалова д.13</t>
  </si>
  <si>
    <t>Предлагаемый собственникам помещений многоквартирного дома  г.Бор ул.Махалова д.14</t>
  </si>
  <si>
    <t>Предлагаемый собственникам помещений многоквартирного дома  г.Бор ул.Махалова д.15</t>
  </si>
  <si>
    <t>Предлагаемый собственникам помещений многоквартирного дома  г.Бор ул.Махалова д.16</t>
  </si>
  <si>
    <t>Предлагаемый собственникам помещений многоквартирного дома  г.Бор ул.Махалова д.17</t>
  </si>
  <si>
    <t>Предлагаемый собственникам помещений многоквартирного дома  г.Бор ул.Махалова д.18</t>
  </si>
  <si>
    <t>Предлагаемый собственникам помещений многоквартирного дома  г.Бор ул.Махалова д.19</t>
  </si>
  <si>
    <t>Предлагаемый собственникам помещений многоквартирного дома  г.Бор ул.Махалова д.20</t>
  </si>
  <si>
    <t>Предлагаемый собственникам помещений многоквартирного дома  г.Бор ул.Махалова д.21</t>
  </si>
  <si>
    <t>Предлагаемый собственникам помещений многоквартирного дома  г.Бор ул.Махалова д.22</t>
  </si>
  <si>
    <t>Предлагаемый собственникам помещений многоквартирного дома  г.Бор ул.Махалова д.24</t>
  </si>
  <si>
    <t>Предлагаемый собственникам помещений многоквартирного дома  г.Бор ул.Махалова д.26</t>
  </si>
  <si>
    <t>Предлагаемый собственникам помещений многоквартирного дома  г.Бор ул.Махалова д.25</t>
  </si>
  <si>
    <t>Предлагаемый собственникам помещений многоквартирного дома  г.Бор ул.Махалова д.28</t>
  </si>
  <si>
    <t>Предлагаемый собственникам помещений многоквартирного дома  г.Бор ул.Махалова д.30</t>
  </si>
  <si>
    <t>Предлагаемый собственникам помещений многоквартирного дома  г.Бор ул.Махалова д.32</t>
  </si>
  <si>
    <t>Предлагаемый собственникам помещений многоквартирного дома  г.Бор ул.Махалова д.34</t>
  </si>
  <si>
    <t>Предлагаемый собственникам помещений многоквартирного дома  г.Бор ул.Махалова д.36</t>
  </si>
  <si>
    <t>Предлагаемый собственникам помещений многоквартирного дома  г.Бор ул.Махалова д.38</t>
  </si>
  <si>
    <t>Предлагаемый собственникам помещений многоквартирного дома  г.Бор ул.Маяковского д.1</t>
  </si>
  <si>
    <t>Предлагаемый собственникам помещений многоквартирного дома  г.Бор ул.Маяковского д.3</t>
  </si>
  <si>
    <t>Предлагаемый собственникам помещений многоквартирного дома  г.Бор ул.Маяковского д.3а</t>
  </si>
  <si>
    <t>Предлагаемый собственникам помещений многоквартирного дома  г.Бор ул.Маяковского д.4</t>
  </si>
  <si>
    <t>Предлагаемый собственникам помещений многоквартирного дома  г.Бор ул.Маяковского д.5</t>
  </si>
  <si>
    <t>Предлагаемый собственникам помещений многоквартирного дома  г.Бор ул.Маяковского д.7</t>
  </si>
  <si>
    <t>Предлагаемый собственникам помещений многоквартирного дома  г.Бор ул.Мира д.1</t>
  </si>
  <si>
    <t>Предлагаемый собственникам помещений многоквартирного дома  г.Бор ул.Мира д.2</t>
  </si>
  <si>
    <t>Предлагаемый собственникам помещений многоквартирного дома  г.Бор ул.Мира д.3</t>
  </si>
  <si>
    <t>Предлагаемый собственникам помещений многоквартирного дома  г.Бор ул.Мира д.4</t>
  </si>
  <si>
    <t>Предлагаемый собственникам помещений многоквартирного дома  г.Бор ул.Мира д.5</t>
  </si>
  <si>
    <t>Предлагаемый собственникам помещений многоквартирного дома  г.Бор ул.Мира д.6</t>
  </si>
  <si>
    <t>Предлагаемый собственникам помещений многоквартирного дома  г.Бор ул.Мира д.7</t>
  </si>
  <si>
    <t>Предлагаемый собственникам помещений многоквартирного дома  г.Бор ул.Мира д.8</t>
  </si>
  <si>
    <t>Предлагаемый собственникам помещений многоквартирного дома  г.Бор ул.Мира д.9</t>
  </si>
  <si>
    <t>Предлагаемый собственникам помещений многоквартирного дома  г.Бор ул.Мира д.10</t>
  </si>
  <si>
    <t>Предлагаемый собственникам помещений многоквартирного дома  г.Бор ул.Мира д.11</t>
  </si>
  <si>
    <t>Предлагаемый собственникам помещений многоквартирного дома  г.Бор ул.Мира д.12</t>
  </si>
  <si>
    <t>Предлагаемый собственникам помещений многоквартирного дома  г.Бор ул.Мира д.13</t>
  </si>
  <si>
    <t>Предлагаемый собственникам помещений многоквартирного дома  г.Бор ул.Мира д.14</t>
  </si>
  <si>
    <t>Предлагаемый собственникам помещений многоквартирного дома  г.Бор ул.Мира д.15</t>
  </si>
  <si>
    <t>Предлагаемый собственникам помещений многоквартирного дома  г.Бор ул.Мира д.16</t>
  </si>
  <si>
    <t>Предлагаемый собственникам помещений многоквартирного дома  г.Бор ул.Мира д.17</t>
  </si>
  <si>
    <t>Предлагаемый собственникам помещений многоквартирного дома  г.Бор ул.Мира д.18</t>
  </si>
  <si>
    <t>Предлагаемый собственникам помещений многоквартирного дома  г.Бор ул.Мира д.19</t>
  </si>
  <si>
    <t>Предлагаемый собственникам помещений многоквартирного дома  г.Бор ул.Мира д.20</t>
  </si>
  <si>
    <t>Предлагаемый собственникам помещений многоквартирного дома  г.Бор ул.Мира д.21</t>
  </si>
  <si>
    <t>Предлагаемый собственникам помещений многоквартирного дома  г.Бор ул.Мира д.22</t>
  </si>
  <si>
    <t>Предлагаемый собственникам помещений многоквартирного дома  г.Бор ул.Мира д.23</t>
  </si>
  <si>
    <t>Предлагаемый собственникам помещений многоквартирного дома  г.Бор ул.Мира д.24</t>
  </si>
  <si>
    <t>Предлагаемый собственникам помещений многоквартирного дома  г.Бор ул.Мира д.25</t>
  </si>
  <si>
    <t>Предлагаемый собственникам помещений многоквартирного дома  г.Бор ул.Мира д.26</t>
  </si>
  <si>
    <t>Предлагаемый собственникам помещений многоквартирного дома  г.Бор ул.Мира д.28</t>
  </si>
  <si>
    <t>Предлагаемый собственникам помещений многоквартирного дома  г.Бор ул.Мира д.30</t>
  </si>
  <si>
    <t>Предлагаемый собственникам помещений многоквартирного дома  г.Бор ул.Мира д.32</t>
  </si>
  <si>
    <t>Предлагаемый собственникам помещений многоквартирного дома  г.Бор м-он Прибрежный д.1</t>
  </si>
  <si>
    <t>Предлагаемый собственникам помещений многоквартирного дома  г.Бор м-он Прибрежный д.2</t>
  </si>
  <si>
    <t>Предлагаемый собственникам помещений многоквартирного дома  г.Бор м-он Прибрежный д.3</t>
  </si>
  <si>
    <t>Предлагаемый собственникам помещений многоквартирного дома  г.Бор м-он Прибрежный д.6</t>
  </si>
  <si>
    <t>Содержание лифтового хозяйства</t>
  </si>
  <si>
    <t>Уборка лестничных клеток</t>
  </si>
  <si>
    <t>Предлагаемый собственникам помещений многоквартирного дома  г.Бор ул.Чугунова  д.1</t>
  </si>
  <si>
    <t>Предлагаемый собственникам помещений многоквартирного дома  г.Бор ул.Чугунова  д.2</t>
  </si>
  <si>
    <t>Предлагаемый собственникам помещений многоквартирного дома  г.Бор ул.Чугунова д.3</t>
  </si>
  <si>
    <t>Предлагаемый собственникам помещений многоквартирного дома  г.Бор ул.Чугунова д.4</t>
  </si>
  <si>
    <t>Предлагаемый собственникам помещений многоквартирного дома  г.Бор ул.Чугунова д.5</t>
  </si>
  <si>
    <t>Предлагаемый собственникам помещений многоквартирного дома  г.Бор ул.Чугунова д.6</t>
  </si>
  <si>
    <t>Предлагаемый собственникам помещений многоквартирного дома  г.Бор ул.Чугунова д.7</t>
  </si>
  <si>
    <t>Предлагаемый собственникам помещений многоквартирного дома  г.Бор ул.Чугунова д.10</t>
  </si>
  <si>
    <t>Предлагаемый собственникам помещений многоквартирного дома  г.Бор ул.Чугунова д.11</t>
  </si>
  <si>
    <t>Предлагаемый собственникам помещений многоквартирного дома  г.Бор ул.Чугунова д.14</t>
  </si>
  <si>
    <t>Предлагаемый собственникам помещений многоквартирного дома  г.Бор ул.Чугунова д.15</t>
  </si>
  <si>
    <t>Предлагаемый собственникам помещений многоквартирного дома  г.Бор ул.Чугунова д.16</t>
  </si>
  <si>
    <t>Предлагаемый собственникам помещений многоквартирного дома  г.Бор ул.Чугунова д.17</t>
  </si>
  <si>
    <t>Предлагаемый собственникам помещений многоквартирного дома  г.Бор ул.Чугунова д.18</t>
  </si>
  <si>
    <t>Предлагаемый собственникам помещений многоквартирного дома  г.Бор ул.Энгельса д.1а</t>
  </si>
  <si>
    <t>Предлагаемый собственникам помещений многоквартирного дома  г.Бор ул.Сосновая д.71а</t>
  </si>
  <si>
    <t>Предлагаемый собственникам помещений многоквартирного дома  г.Бор ул.6 Подлужный пер. д.6а</t>
  </si>
  <si>
    <t>Вывоз ЖБО</t>
  </si>
  <si>
    <t>Обслуживание внутридомовых сетей газоснабжения АОГВ</t>
  </si>
  <si>
    <t>Предлагаемый собственникам помещений многоквартирного дома  ст.Киселиха  ул.Вокзальная д.2</t>
  </si>
  <si>
    <t>Предлагаемый собственникам помещений многоквартирного дома  ст.Киселиха  ул.Вокзальная д.3</t>
  </si>
  <si>
    <t>Предлагаемый собственникам помещений многоквартирного дома  ст.Киселиха  ул.Вокзальная д.4</t>
  </si>
  <si>
    <t>Предлагаемый собственникам помещений многоквартирного дома  ст.Киселиха  ул.Вокзальная д.6</t>
  </si>
  <si>
    <t>Предлагаемый собственникам помещений многоквартирного дома  ст.Киселиха  ул.Вокзальная д.7</t>
  </si>
  <si>
    <t>Предлагаемый собственникам помещений многоквартирного дома  п.Железнодорожный ул.Новостройка д.1</t>
  </si>
  <si>
    <t>Предлагаемый собственникам помещений многоквартирного дома  п.Железнодорожный ул.Новостройка д.10</t>
  </si>
  <si>
    <t>Предлагаемый собственникам помещений многоквартирного дома  п.Железнодорожный ул.Новостройка д.11</t>
  </si>
  <si>
    <t>Предлагаемый собственникам помещений многоквартирного дома  п.Железнодорожный ул.Новостройка д.12</t>
  </si>
  <si>
    <t>Предлагаемый собственникам помещений многоквартирного дома  п.Железнодорожный ул.Новостройка д.13</t>
  </si>
  <si>
    <t>Предлагаемый собственникам помещений многоквартирного дома  п.Железнодорожный ул.Новостройка д.14</t>
  </si>
  <si>
    <t>Предлагаемый собственникам помещений многоквартирного дома  п.Железнодорожный ул.Новостройка д.15</t>
  </si>
  <si>
    <t>Предлагаемый собственникам помещений многоквартирного дома  п.Железнодорожный ул.Новостройка д.16</t>
  </si>
  <si>
    <t>Предлагаемый собственникам помещений многоквартирного дома  п.Железнодорожный ул.Новостройка д.17</t>
  </si>
  <si>
    <t>Предлагаемый собственникам помещений многоквартирного дома  п.Железнодорожный ул.Новостройка д.18</t>
  </si>
  <si>
    <t>Предлагаемый собственникам помещений многоквартирного дома  п.Железнодорожный ул.Новостройка д.19</t>
  </si>
  <si>
    <t>Предлагаемый собственникам помещений многоквартирного дома  п.Железнодорожный ул.Новостройка д.20</t>
  </si>
  <si>
    <t>Предлагаемый собственникам помещений многоквартирного дома  п.Железнодорожный ул.Новостройка д.22</t>
  </si>
  <si>
    <t>Предлагаемый собственникам помещений многоквартирного дома  п.Железнодорожный ул.Новостройка д.24</t>
  </si>
  <si>
    <t>Предлагаемый собственникам помещений многоквартирного дома  п.Железнодорожный ул.Новостройка д.26</t>
  </si>
  <si>
    <t>Предлагаемый собственникам помещений многоквартирного дома  п.Железнодорожный ул.Новостройка д.28</t>
  </si>
  <si>
    <t>Предлагаемый собственникам помещений многоквартирного дома  п.Железнодорожный ул.Новостройка д.3</t>
  </si>
  <si>
    <t>Предлагаемый собственникам помещений многоквартирного дома  п.Железнодорожный ул.Новостройка д.30</t>
  </si>
  <si>
    <t>Предлагаемый собственникам помещений многоквартирного дома  п.Железнодорожный ул.Новостройка д.34</t>
  </si>
  <si>
    <t>Предлагаемый собственникам помещений многоквартирного дома  п.Железнодорожный ул.Новостройка д.4</t>
  </si>
  <si>
    <t>Предлагаемый собственникам помещений многоквартирного дома  п.Железнодорожный ул.Новостройка д.5</t>
  </si>
  <si>
    <t>Предлагаемый собственникам помещений многоквартирного дома  п.Железнодорожный ул.Новостройка д.7</t>
  </si>
  <si>
    <t>Предлагаемый собственникам помещений многоквартирного дома  п.Железнодорожный ул.Новостройка д.9</t>
  </si>
  <si>
    <t>Предлагаемый собственникам помещений многоквартирного дома  п.Железнодорожный ул.Октябрьская  д.11</t>
  </si>
  <si>
    <t>Предлагаемый собственникам помещений многоквартирного дома  п.Железнодорожный ул.Октябрьская  д.13</t>
  </si>
  <si>
    <t>Предлагаемый собственникам помещений многоквартирного дома  п.Железнодорожный ул.Октябрьская  д.15</t>
  </si>
  <si>
    <t>Предлагаемый собственникам помещений многоквартирного дома  п.Железнодорожный ул.Октябрьская  д.2</t>
  </si>
  <si>
    <t>Предлагаемый собственникам помещений многоквартирного дома  п.Железнодорожный ул.Октябрьская  д.4</t>
  </si>
  <si>
    <t>Предлагаемый собственникам помещений многоквартирного дома  п.Железнодорожный ул.Октябрьская  д.7</t>
  </si>
  <si>
    <t>Предлагаемый собственникам помещений многоквартирного дома  п.Железнодорожный ул.Октябрьская  д.9а</t>
  </si>
  <si>
    <t>Предлагаемый собственникам помещений многоквартирного дома д.Красная Слобода п.Приречный д.7</t>
  </si>
  <si>
    <t>Обслуживание печей</t>
  </si>
  <si>
    <t>Предлагаемый собственникам помещений многоквартирного дома  п.Железнодорожный ул.Садовая д.5</t>
  </si>
  <si>
    <t>Предлагаемый собственникам помещений многоквартирного дома  п.Железнодорожный ул.Садовая д.5а</t>
  </si>
  <si>
    <t>Предлагаемый собственникам помещений многоквартирного дома  п.Железнодорожный тер. Киселихинского госпиталя д.1</t>
  </si>
  <si>
    <t>Предлагаемый собственникам помещений многоквартирного дома  п.Железнодорожный тер. Киселихинского госпиталя д.2</t>
  </si>
  <si>
    <t>Предлагаемый собственникам помещений многоквартирного дома  п.Железнодорожный тер. Киселихинского госпиталя д.4</t>
  </si>
  <si>
    <t>Предлагаемый собственникам помещений многоквартирного дома  п.Железнодорожный тер. Киселихинского госпиталя д.7</t>
  </si>
  <si>
    <t>Предлагаемый собственникам помещений многоквартирного дома  п.Ситники 1-й участок д.10</t>
  </si>
  <si>
    <t>Предлагаемый собственникам помещений многоквартирного дома  п.Ситники 1-й участок д.12</t>
  </si>
  <si>
    <t>Предлагаемый собственникам помещений многоквартирного дома  п.Ситники 1-й участок д.13</t>
  </si>
  <si>
    <t>Предлагаемый собственникам помещений многоквартирного дома  п.Ситники 1-й участок д.16</t>
  </si>
  <si>
    <t>Предлагаемый собственникам помещений многоквартирного дома  п.Ситники 1-й участок д.18</t>
  </si>
  <si>
    <t>Предлагаемый собственникам помещений многоквартирного дома  п.Ситники 1-й участок д.2</t>
  </si>
  <si>
    <t>Предлагаемый собственникам помещений многоквартирного дома  п.Ситники 1-й участок д.7</t>
  </si>
  <si>
    <t>Предлагаемый собственникам помещений многоквартирного дома  п.Ситники 1-й участок д.8</t>
  </si>
  <si>
    <t>Предлагаемый собственникам помещений многоквартирного дома  п.Железнодорожный ул.Ценральная д.14</t>
  </si>
  <si>
    <t>Предлагаемый собственникам помещений многоквартирного дома  п.Железнодорожный ул.Ценральная д.15</t>
  </si>
  <si>
    <t>Предлагаемый собственникам помещений многоквартирного дома  п.Железнодорожный ул.Ценральная д.16</t>
  </si>
  <si>
    <t>Предлагаемый собственникам помещений многоквартирного дома  п.Железнодорожный ул.Ценральная д.17</t>
  </si>
  <si>
    <t>Предлагаемый собственникам помещений многоквартирного дома  п.Железнодорожный ул.Ценральная д.18</t>
  </si>
  <si>
    <t>Предлагаемый собственникам помещений многоквартирного дома  п.Железнодорожный ул.Ценральная д.19</t>
  </si>
  <si>
    <t>Предлагаемый собственникам помещений многоквартирного дома  п.Железнодорожный ул.Ценральная д.1а</t>
  </si>
  <si>
    <t>Предлагаемый собственникам помещений многоквартирного дома  п.Железнодорожный ул.Ценральная д.2</t>
  </si>
  <si>
    <t>Предлагаемый собственникам помещений многоквартирного дома  п.Железнодорожный ул.Ценральная д.3</t>
  </si>
  <si>
    <t>Предлагаемый собственникам помещений многоквартирного дома  п.Железнодорожный ул.Ценральная д.4</t>
  </si>
  <si>
    <t>Предлагаемый собственникам помещений многоквартирного дома  п.Железнодорожный ул.Ценральная д.5</t>
  </si>
  <si>
    <t>Предлагаемый собственникам помещений многоквартирного дома  п.Железнодорожный ул.Ценральная д.7</t>
  </si>
  <si>
    <t>Предлагаемый собственникам помещений многоквартирного дома  п.Ситники ул.Ценральная д.10</t>
  </si>
  <si>
    <t>Предлагаемый собственникам помещений многоквартирного дома  п.Ситники ул.Ценральная д.13</t>
  </si>
  <si>
    <t>Предлагаемый собственникам помещений многоквартирного дома  п.Ситники ул.Ценральная д.14</t>
  </si>
  <si>
    <t>Предлагаемый собственникам помещений многоквартирного дома  п.Ситники ул.Ценральная д.15</t>
  </si>
  <si>
    <t>Предлагаемый собственникам помещений многоквартирного дома  п.Ситники ул.Ценральная д.16</t>
  </si>
  <si>
    <t>Предлагаемый собственникам помещений многоквартирного дома  п.Ситники ул.Ценральная д.18</t>
  </si>
  <si>
    <t>Предлагаемый собственникам помещений многоквартирного дома  п.Ситники ул.Ценральная д.18а</t>
  </si>
  <si>
    <t>Предлагаемый собственникам помещений многоквартирного дома  п.Ситники ул.Ценральная д.1а</t>
  </si>
  <si>
    <t>Предлагаемый собственникам помещений многоквартирного дома  п.Ситники ул.Ценральная д.2</t>
  </si>
  <si>
    <t>Предлагаемый собственникам помещений многоквартирного дома  п.Ситники ул.Ценральная д.20</t>
  </si>
  <si>
    <t>Предлагаемый собственникам помещений многоквартирного дома  п.Ситники ул.Ценральная д.22</t>
  </si>
  <si>
    <t>Предлагаемый собственникам помещений многоквартирного дома  п.Ситники ул.Ценральная д.23</t>
  </si>
  <si>
    <t>Предлагаемый собственникам помещений многоквартирного дома  п.Ситники ул.Ценральная д.25</t>
  </si>
  <si>
    <t>Предлагаемый собственникам помещений многоквартирного дома  п.Ситники ул.Ценральная д.26</t>
  </si>
  <si>
    <t>Предлагаемый собственникам помещений многоквартирного дома  п.Ситники ул.Ценральная д.27</t>
  </si>
  <si>
    <t>Предлагаемый собственникам помещений многоквартирного дома  п.Ситники ул.Ценральная д.28</t>
  </si>
  <si>
    <t>Предлагаемый собственникам помещений многоквартирного дома  п.Ситники ул.Ценральная д.30</t>
  </si>
  <si>
    <t>Предлагаемый собственникам помещений многоквартирного дома  п.Ситники ул.Ценральная д.32</t>
  </si>
  <si>
    <t>Предлагаемый собственникам помещений многоквартирного дома  п.Ситники ул.Ценральная д.3а</t>
  </si>
  <si>
    <t>Предлагаемый собственникам помещений многоквартирного дома  п.Ситники ул.Ценральная д.4</t>
  </si>
  <si>
    <t>Предлагаемый собственникам помещений многоквартирного дома  п.Ситники ул.Ценральная д.44</t>
  </si>
  <si>
    <t>Предлагаемый собственникам помещений многоквартирного дома  п.Ситники ул.Ценральная д.5а</t>
  </si>
  <si>
    <t>Предлагаемый собственникам помещений многоквартирного дома  п.Ситники ул.Ценральная д.70</t>
  </si>
  <si>
    <t>Предлагаемый собственникам помещений многоквартирного дома  п.Ситники ул.Ценральная д.8</t>
  </si>
  <si>
    <t>Предлагаемый собственникам помещений многоквартирного дома  п.Ситники ул.Ценральная д.9</t>
  </si>
  <si>
    <t xml:space="preserve">Декоративный ремонт подъездов                                         </t>
  </si>
  <si>
    <t xml:space="preserve">Ремонт отмостки                                                       </t>
  </si>
  <si>
    <t xml:space="preserve">Ремонт фасада(ремонт цоколя)                                          </t>
  </si>
  <si>
    <t xml:space="preserve">Смена дверных блоков                                                  </t>
  </si>
  <si>
    <t>п</t>
  </si>
  <si>
    <t xml:space="preserve">Ремонт шиферной кровли                                                </t>
  </si>
  <si>
    <t xml:space="preserve">Смена водопроводного стояка                                           </t>
  </si>
  <si>
    <t xml:space="preserve">Смена оконных блоков                                                  </t>
  </si>
  <si>
    <t xml:space="preserve">Смена эл.проводки                                                     </t>
  </si>
  <si>
    <t>м</t>
  </si>
  <si>
    <t xml:space="preserve">Смена водопроводного лежака                                           </t>
  </si>
  <si>
    <t xml:space="preserve">Утепление чердака                                                     </t>
  </si>
  <si>
    <t xml:space="preserve">Ремонт крыльца                                                        </t>
  </si>
  <si>
    <t>шт</t>
  </si>
  <si>
    <t>Ремонт полов в МОП</t>
  </si>
  <si>
    <t xml:space="preserve">Ремонт входа в подвал                                                 </t>
  </si>
  <si>
    <t>Ремонт фасада(ремонт цоколя)</t>
  </si>
  <si>
    <t xml:space="preserve">Ремонт дымовых труб                                                   </t>
  </si>
  <si>
    <t xml:space="preserve">п  </t>
  </si>
  <si>
    <t xml:space="preserve">Смена канализационного стояка                                         </t>
  </si>
  <si>
    <t>Ремонт крыльца</t>
  </si>
  <si>
    <t xml:space="preserve">Ремонт отмостки    </t>
  </si>
  <si>
    <t xml:space="preserve">Демонтаж выгребной ямы                                                </t>
  </si>
  <si>
    <t>Ремонт отмостки</t>
  </si>
  <si>
    <t xml:space="preserve">Ремонт фасада                                                         </t>
  </si>
  <si>
    <t>Ремонт деревянных перекрытий</t>
  </si>
  <si>
    <t xml:space="preserve">Ремонт лестничной клетки                                              </t>
  </si>
  <si>
    <t>Ремонт пола</t>
  </si>
  <si>
    <t xml:space="preserve">Ремонт пола                                                           </t>
  </si>
  <si>
    <t xml:space="preserve">Ремонт асфальтового покрытия                                          </t>
  </si>
  <si>
    <t xml:space="preserve">Укрепление фундамента                                                 </t>
  </si>
  <si>
    <t>Смена дверных полотен</t>
  </si>
  <si>
    <t xml:space="preserve">Ремонт балкона                                                        </t>
  </si>
  <si>
    <t xml:space="preserve">Ремонт козырьков над входами в подъезд                                </t>
  </si>
  <si>
    <t xml:space="preserve">Ремонт электропроводки общего распредщита                             </t>
  </si>
  <si>
    <t xml:space="preserve">Устройство и ремонт уличных туалетов и помоек                         </t>
  </si>
  <si>
    <t xml:space="preserve">Ремонт газонного ограждения                                           </t>
  </si>
  <si>
    <t xml:space="preserve">Ремонт перекрытия                                                     </t>
  </si>
  <si>
    <t xml:space="preserve">Смена почтовых ящиков                                                 </t>
  </si>
  <si>
    <t xml:space="preserve">шт </t>
  </si>
  <si>
    <t xml:space="preserve">Ремонт перекрытия чердачного помещения                                </t>
  </si>
  <si>
    <t xml:space="preserve">Ремонт полов в МОП                                                    </t>
  </si>
  <si>
    <t>Ремонт мягкой кровли</t>
  </si>
  <si>
    <t xml:space="preserve">п </t>
  </si>
  <si>
    <t xml:space="preserve">м </t>
  </si>
  <si>
    <t xml:space="preserve">м2 </t>
  </si>
  <si>
    <t xml:space="preserve">Устройство выгребных ям                                               </t>
  </si>
  <si>
    <t xml:space="preserve">Ремонт фасада(ремонт цоколя)  </t>
  </si>
  <si>
    <t xml:space="preserve">Декоративный ремонт подъездов  </t>
  </si>
  <si>
    <t xml:space="preserve">ремонт козырька                                                       </t>
  </si>
  <si>
    <t xml:space="preserve">Ремонт мягкой кровли                                                  </t>
  </si>
  <si>
    <t xml:space="preserve">Смена оконных блоков </t>
  </si>
  <si>
    <t>Установка газонного ограждения</t>
  </si>
  <si>
    <t>Смена оконных переплетов</t>
  </si>
  <si>
    <t xml:space="preserve">Смена дверных блоков  </t>
  </si>
  <si>
    <t xml:space="preserve">Укрепление стропильных ног                                            </t>
  </si>
  <si>
    <t xml:space="preserve">Смена канализационного лежака                                      </t>
  </si>
  <si>
    <t>ремонт асфальтового покрытия тратуара</t>
  </si>
  <si>
    <t>ремонт отмостки</t>
  </si>
  <si>
    <t>ремонт канализационного выпуска</t>
  </si>
  <si>
    <t>укрепление стропильных ног</t>
  </si>
  <si>
    <t>ремонт козырьков</t>
  </si>
  <si>
    <t>декоративный ремонт подъезда</t>
  </si>
  <si>
    <t>ремонт полов в моп</t>
  </si>
  <si>
    <t>замена розлива отопления</t>
  </si>
  <si>
    <t>Декоративный ремонт подъездов</t>
  </si>
  <si>
    <t>Ремонт фасада</t>
  </si>
  <si>
    <t>Смена водопроводного стояка</t>
  </si>
  <si>
    <t>Смена канализационного лежака</t>
  </si>
  <si>
    <t>Смена эл. Проводки</t>
  </si>
  <si>
    <t>Смена розлива ц.о.</t>
  </si>
  <si>
    <t>Смена стояков ц.о.</t>
  </si>
  <si>
    <t>Отмостка</t>
  </si>
  <si>
    <t>Смена канализационного стояка</t>
  </si>
  <si>
    <t>Ремонт асфальтового покрытия</t>
  </si>
  <si>
    <t>Ремонт газонного ограждения</t>
  </si>
  <si>
    <t>Ремонт фасада  (цоколя)</t>
  </si>
  <si>
    <t>Ремонт шиферной кровли</t>
  </si>
  <si>
    <t>Смена водопроводного лежака</t>
  </si>
  <si>
    <t>пм</t>
  </si>
  <si>
    <t>Окразка газовых трубопроводов</t>
  </si>
  <si>
    <t>Ремонт входа в подвал</t>
  </si>
  <si>
    <t>Ремонт козырьков над подъездами</t>
  </si>
  <si>
    <t>Ремонт фасада (цоколя)</t>
  </si>
  <si>
    <t>смена водопроводных труб</t>
  </si>
  <si>
    <t>Смена розлива Ц.О.</t>
  </si>
  <si>
    <t>П</t>
  </si>
  <si>
    <t>Смена оконных блоков</t>
  </si>
  <si>
    <t>Установка плафонов закрытого типа</t>
  </si>
  <si>
    <t>Утепление стен</t>
  </si>
  <si>
    <t>Смена дверных блоков</t>
  </si>
  <si>
    <t>Смена эл.проводки</t>
  </si>
  <si>
    <t>Газонное ограждение</t>
  </si>
  <si>
    <t>Предлагаемый собственникам помещений многоквартирного дома  г.Бор ул. В.Котика д.3А</t>
  </si>
  <si>
    <t>Смена эл. Прповодки</t>
  </si>
  <si>
    <t>Покраска фасада</t>
  </si>
  <si>
    <t>Сменастояков ц.о.</t>
  </si>
  <si>
    <t>Герметизация межпанельных стыков</t>
  </si>
  <si>
    <t>Ремонт ступеней входа в подъезд с обрамлением из уголка</t>
  </si>
  <si>
    <t xml:space="preserve">Смена розлива ц.о. </t>
  </si>
  <si>
    <t>Ремонт газонных ограждений</t>
  </si>
  <si>
    <t>Ремонт ливневой канализации</t>
  </si>
  <si>
    <t>Декоративный  ремонт подъезда</t>
  </si>
  <si>
    <t>Ремонт фасада цоколя</t>
  </si>
  <si>
    <t xml:space="preserve">Ремонт газонного ограждения </t>
  </si>
  <si>
    <t>Декоративный ремонот подъездов</t>
  </si>
  <si>
    <t>ремонт фасада (цоколя)</t>
  </si>
  <si>
    <t>Сменда дверных блоков</t>
  </si>
  <si>
    <t xml:space="preserve">Смена стояков ц.о. </t>
  </si>
  <si>
    <t>Ремонт дымовых труб</t>
  </si>
  <si>
    <t>Ремонт оконных блоков</t>
  </si>
  <si>
    <t>Декотративный ремонт подъездов</t>
  </si>
  <si>
    <t>Смена эл. проводки</t>
  </si>
  <si>
    <t>Покраска детских лощадок</t>
  </si>
  <si>
    <t>Установка детских форм</t>
  </si>
  <si>
    <t>Лавочки</t>
  </si>
  <si>
    <t>пл</t>
  </si>
  <si>
    <t>Ремонт детских площадок</t>
  </si>
  <si>
    <t>Ремон вентиляционных каналов</t>
  </si>
  <si>
    <t>Ремонт водопроводного стояка</t>
  </si>
  <si>
    <t>Смена розлива ц.о</t>
  </si>
  <si>
    <t>Покраска и ремонт детских площадок</t>
  </si>
  <si>
    <t>Смена водопроводгого стояка</t>
  </si>
  <si>
    <t>Смена стояков ц.о</t>
  </si>
  <si>
    <t>Ремент асфальтового покрытия</t>
  </si>
  <si>
    <t>Смена канализационногостояка</t>
  </si>
  <si>
    <t xml:space="preserve">Смена канализационного стояка </t>
  </si>
  <si>
    <t xml:space="preserve">Лавочки </t>
  </si>
  <si>
    <t>Ремрнт асфальтового покрытия</t>
  </si>
  <si>
    <t>Изготовление и установка скамеек</t>
  </si>
  <si>
    <t xml:space="preserve">Смена водопроводного лежака </t>
  </si>
  <si>
    <t>Смена розлива ГВС</t>
  </si>
  <si>
    <t>Окраска газовых трубопроводов</t>
  </si>
  <si>
    <t>Ремонт цоколя</t>
  </si>
  <si>
    <t>Смена двери</t>
  </si>
  <si>
    <t>Ремонт фасада(цоколя)</t>
  </si>
  <si>
    <t>Ремонт козырьков нвд подъездами</t>
  </si>
  <si>
    <t>Смена разлива ц.о.</t>
  </si>
  <si>
    <t>Смена водопроводного выпуска</t>
  </si>
  <si>
    <t>Сменаводопроводного лежака</t>
  </si>
  <si>
    <t>Утепление фасада</t>
  </si>
  <si>
    <t>Ремон газонного ограждения</t>
  </si>
  <si>
    <t>замена почтовых ящиков</t>
  </si>
  <si>
    <t>Ремон асфальтового покрытия</t>
  </si>
  <si>
    <t>Смена водопроводногостояка</t>
  </si>
  <si>
    <t xml:space="preserve">Декоративный ремонт подъездов </t>
  </si>
  <si>
    <t xml:space="preserve">Ремонт асфальтового покрытия </t>
  </si>
  <si>
    <t>Установка скамеек</t>
  </si>
  <si>
    <t>Смена розлив ц.о.</t>
  </si>
  <si>
    <t>Ремонткозырьков над входом в подъезд</t>
  </si>
  <si>
    <t>Ремонт козырьков над входом в подъезд</t>
  </si>
  <si>
    <t>Смен канализационного лежака</t>
  </si>
  <si>
    <t>Смена каналлизационного стояка</t>
  </si>
  <si>
    <t>Смена розливов ц.о.</t>
  </si>
  <si>
    <t>шп</t>
  </si>
  <si>
    <t>Покраска и ремонт скамеек</t>
  </si>
  <si>
    <t xml:space="preserve">Ремонт газонных ограждений </t>
  </si>
  <si>
    <t>Герметезация межпанельных стыков</t>
  </si>
  <si>
    <t>Сменаканализационного стояка</t>
  </si>
  <si>
    <t>Смена  розлива ц.о.</t>
  </si>
  <si>
    <t>Сменв стояков ц.о.</t>
  </si>
  <si>
    <t xml:space="preserve">Герметизация межпанельных стыков </t>
  </si>
  <si>
    <t>Ремонт козырьков над входами в подъезд</t>
  </si>
  <si>
    <t>Декоративныйф ремонт подъездов</t>
  </si>
  <si>
    <t>Смена водопроводного впуска</t>
  </si>
  <si>
    <t>Смена канализационног остояка</t>
  </si>
  <si>
    <t xml:space="preserve">Спиловка деревьев </t>
  </si>
  <si>
    <t>Спиловка деревьев</t>
  </si>
  <si>
    <t>Установка пластиковых окон</t>
  </si>
  <si>
    <t>мм</t>
  </si>
  <si>
    <t>Ремонтшиферной кровли</t>
  </si>
  <si>
    <t>Установка оконных рам</t>
  </si>
  <si>
    <t>Смена почтовых ящиков</t>
  </si>
  <si>
    <t>Смена стояков  ц.о</t>
  </si>
  <si>
    <t>Ремонт водопроводного выпуска</t>
  </si>
  <si>
    <t>Смена канализационного  лежака</t>
  </si>
  <si>
    <t xml:space="preserve">Ремонт отмостки </t>
  </si>
  <si>
    <t>Смена  водопроводного выпуска</t>
  </si>
  <si>
    <t>Смена  водопроводного стояка</t>
  </si>
  <si>
    <t>Ремонт омостки</t>
  </si>
  <si>
    <t>Ремонт асфальтового покрфтия</t>
  </si>
  <si>
    <t>Ремонт козырьков над входам в подъезд</t>
  </si>
  <si>
    <t>Утепление чердака</t>
  </si>
  <si>
    <t>Смена водосточныхтруб</t>
  </si>
  <si>
    <t xml:space="preserve">Установка почтовых ящиков </t>
  </si>
  <si>
    <t>Смена водосточных труб</t>
  </si>
  <si>
    <t>Установка почтовых ящиков</t>
  </si>
  <si>
    <t>Установка слива</t>
  </si>
  <si>
    <t>Рокраска и ремонт детских площадок</t>
  </si>
  <si>
    <t>Декоративный ремонт подъезда</t>
  </si>
  <si>
    <t xml:space="preserve"> Ремонт  газонного ограждения</t>
  </si>
  <si>
    <t>затраты тыс. руб.</t>
  </si>
  <si>
    <t>Предлагаемый собственникам помещений многоквартирного дома  г.Бор ул. В.Котика д.3</t>
  </si>
  <si>
    <t>Смена водосточны труб</t>
  </si>
  <si>
    <t>Ремонт выхода из подъезда</t>
  </si>
  <si>
    <t>затраты  тыс. руб.</t>
  </si>
  <si>
    <t>Предлагаемый собственникам помещений многоквартирного дома  г.Бор ул. Западная д.12</t>
  </si>
  <si>
    <t>выход из подъздов</t>
  </si>
  <si>
    <t>Выход из подъеда</t>
  </si>
  <si>
    <t>Выход из подъезда</t>
  </si>
  <si>
    <t>Предлагаемый собственникам помещений многоквартирного дома  г.Бор ул.Махалова д.7</t>
  </si>
  <si>
    <t>ремонт фасада</t>
  </si>
  <si>
    <t>смена водопроводного стояка</t>
  </si>
  <si>
    <t>смена канализационного лежака</t>
  </si>
  <si>
    <t>смена канализационного стояка</t>
  </si>
  <si>
    <t>ремонт кровли из металлочерепицы</t>
  </si>
  <si>
    <t>смена эл. Проводки</t>
  </si>
  <si>
    <t>смена розлива отопления</t>
  </si>
  <si>
    <t>ремонт газонного ограждения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</si>
</sst>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4" fillId="0" borderId="1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 applyAlignment="1">
      <alignment horizontal="center" wrapText="1"/>
    </xf>
    <xf numFmtId="0" fontId="5" fillId="0" borderId="1" xfId="0" applyFont="1" applyBorder="1"/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2" fontId="1" fillId="0" borderId="1" xfId="0" applyNumberFormat="1" applyFont="1" applyBorder="1" applyAlignment="1">
      <alignment wrapText="1"/>
    </xf>
    <xf numFmtId="2" fontId="1" fillId="0" borderId="4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164" fontId="1" fillId="0" borderId="4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0" fillId="0" borderId="5" xfId="0" applyBorder="1" applyAlignment="1">
      <alignment wrapText="1"/>
    </xf>
    <xf numFmtId="2" fontId="0" fillId="0" borderId="2" xfId="0" applyNumberFormat="1" applyBorder="1" applyAlignment="1">
      <alignment wrapText="1"/>
    </xf>
    <xf numFmtId="0" fontId="5" fillId="0" borderId="0" xfId="0" applyFont="1"/>
    <xf numFmtId="2" fontId="1" fillId="0" borderId="0" xfId="0" applyNumberFormat="1" applyFont="1" applyAlignment="1">
      <alignment horizontal="center" wrapText="1"/>
    </xf>
    <xf numFmtId="2" fontId="0" fillId="0" borderId="0" xfId="0" applyNumberFormat="1" applyAlignment="1">
      <alignment wrapText="1"/>
    </xf>
    <xf numFmtId="2" fontId="3" fillId="0" borderId="1" xfId="0" applyNumberFormat="1" applyFont="1" applyBorder="1" applyAlignment="1">
      <alignment wrapText="1"/>
    </xf>
    <xf numFmtId="2" fontId="0" fillId="0" borderId="0" xfId="0" applyNumberFormat="1" applyBorder="1" applyAlignment="1">
      <alignment wrapText="1"/>
    </xf>
    <xf numFmtId="2" fontId="0" fillId="0" borderId="0" xfId="0" applyNumberFormat="1"/>
    <xf numFmtId="0" fontId="0" fillId="0" borderId="1" xfId="0" applyFill="1" applyBorder="1" applyAlignment="1">
      <alignment wrapText="1"/>
    </xf>
    <xf numFmtId="0" fontId="0" fillId="0" borderId="1" xfId="0" applyBorder="1"/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1" fillId="2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71"/>
  <sheetViews>
    <sheetView topLeftCell="A142" workbookViewId="0">
      <selection activeCell="F158" sqref="F158"/>
    </sheetView>
  </sheetViews>
  <sheetFormatPr defaultRowHeight="15" x14ac:dyDescent="0.25"/>
  <cols>
    <col min="1" max="1" width="6.7109375" customWidth="1"/>
    <col min="2" max="2" width="43.7109375" customWidth="1"/>
    <col min="3" max="3" width="6.5703125" customWidth="1"/>
    <col min="6" max="6" width="10" style="34" customWidth="1"/>
  </cols>
  <sheetData>
    <row r="2" spans="2:6" ht="32.450000000000003" customHeight="1" x14ac:dyDescent="0.25">
      <c r="B2" s="37" t="s">
        <v>10</v>
      </c>
      <c r="C2" s="37"/>
      <c r="D2" s="37"/>
      <c r="E2" s="37"/>
      <c r="F2" s="37"/>
    </row>
    <row r="3" spans="2:6" ht="32.450000000000003" customHeight="1" x14ac:dyDescent="0.25">
      <c r="B3" s="37" t="s">
        <v>1</v>
      </c>
      <c r="C3" s="37"/>
      <c r="D3" s="37"/>
      <c r="E3" s="37"/>
      <c r="F3" s="37"/>
    </row>
    <row r="4" spans="2:6" ht="16.149999999999999" customHeight="1" x14ac:dyDescent="0.25">
      <c r="B4" s="14" t="s">
        <v>0</v>
      </c>
      <c r="C4" s="14"/>
      <c r="D4" s="14"/>
      <c r="E4" s="14"/>
      <c r="F4" s="30"/>
    </row>
    <row r="5" spans="2:6" ht="16.149999999999999" customHeight="1" x14ac:dyDescent="0.25">
      <c r="B5" s="2"/>
      <c r="C5" s="38" t="s">
        <v>25</v>
      </c>
      <c r="D5" s="38"/>
      <c r="E5" s="2">
        <v>404.7</v>
      </c>
      <c r="F5" s="31" t="s">
        <v>26</v>
      </c>
    </row>
    <row r="7" spans="2:6" ht="58.9" customHeight="1" x14ac:dyDescent="0.25">
      <c r="B7" s="1" t="s">
        <v>2</v>
      </c>
      <c r="C7" s="1" t="s">
        <v>4</v>
      </c>
      <c r="D7" s="1" t="s">
        <v>3</v>
      </c>
      <c r="E7" s="1" t="s">
        <v>443</v>
      </c>
      <c r="F7" s="24" t="s">
        <v>5</v>
      </c>
    </row>
    <row r="8" spans="2:6" x14ac:dyDescent="0.25">
      <c r="B8" s="1"/>
      <c r="C8" s="1"/>
      <c r="D8" s="1"/>
      <c r="E8" s="1"/>
      <c r="F8" s="24"/>
    </row>
    <row r="9" spans="2:6" x14ac:dyDescent="0.25">
      <c r="B9" s="3" t="s">
        <v>6</v>
      </c>
      <c r="C9" s="1"/>
      <c r="D9" s="1"/>
      <c r="E9" s="1"/>
      <c r="F9" s="24"/>
    </row>
    <row r="10" spans="2:6" x14ac:dyDescent="0.25">
      <c r="B10" s="5" t="s">
        <v>7</v>
      </c>
      <c r="C10" s="1"/>
      <c r="D10" s="1"/>
      <c r="E10" s="1"/>
      <c r="F10" s="32">
        <v>2.0099999999999998</v>
      </c>
    </row>
    <row r="11" spans="2:6" x14ac:dyDescent="0.25">
      <c r="B11" s="5" t="s">
        <v>8</v>
      </c>
      <c r="C11" s="1"/>
      <c r="D11" s="1"/>
      <c r="E11" s="1"/>
      <c r="F11" s="32">
        <v>5.34</v>
      </c>
    </row>
    <row r="12" spans="2:6" x14ac:dyDescent="0.25">
      <c r="B12" s="5" t="s">
        <v>11</v>
      </c>
      <c r="C12" s="1"/>
      <c r="D12" s="1"/>
      <c r="E12" s="1"/>
      <c r="F12" s="32">
        <v>0.55000000000000004</v>
      </c>
    </row>
    <row r="13" spans="2:6" x14ac:dyDescent="0.25">
      <c r="B13" s="5" t="s">
        <v>12</v>
      </c>
      <c r="C13" s="1"/>
      <c r="D13" s="1"/>
      <c r="E13" s="1"/>
      <c r="F13" s="32">
        <v>0.53</v>
      </c>
    </row>
    <row r="14" spans="2:6" x14ac:dyDescent="0.25">
      <c r="B14" s="5" t="s">
        <v>13</v>
      </c>
      <c r="C14" s="1"/>
      <c r="D14" s="1"/>
      <c r="E14" s="1"/>
      <c r="F14" s="32">
        <v>0.19</v>
      </c>
    </row>
    <row r="15" spans="2:6" x14ac:dyDescent="0.25">
      <c r="B15" s="5" t="s">
        <v>14</v>
      </c>
      <c r="C15" s="1"/>
      <c r="D15" s="1"/>
      <c r="E15" s="1"/>
      <c r="F15" s="32">
        <v>1.25</v>
      </c>
    </row>
    <row r="16" spans="2:6" ht="24.75" x14ac:dyDescent="0.25">
      <c r="B16" s="5" t="s">
        <v>9</v>
      </c>
      <c r="C16" s="1"/>
      <c r="D16" s="1"/>
      <c r="E16" s="1"/>
      <c r="F16" s="32">
        <v>0.26</v>
      </c>
    </row>
    <row r="17" spans="2:6" x14ac:dyDescent="0.25">
      <c r="B17" s="5" t="s">
        <v>15</v>
      </c>
      <c r="C17" s="1"/>
      <c r="D17" s="1"/>
      <c r="E17" s="1"/>
      <c r="F17" s="32">
        <v>0.27</v>
      </c>
    </row>
    <row r="18" spans="2:6" ht="24.75" x14ac:dyDescent="0.25">
      <c r="B18" s="5" t="s">
        <v>16</v>
      </c>
      <c r="C18" s="1"/>
      <c r="D18" s="1"/>
      <c r="E18" s="1"/>
      <c r="F18" s="32">
        <v>0.28999999999999998</v>
      </c>
    </row>
    <row r="19" spans="2:6" x14ac:dyDescent="0.25">
      <c r="B19" s="5" t="s">
        <v>17</v>
      </c>
      <c r="C19" s="1"/>
      <c r="D19" s="1"/>
      <c r="E19" s="1"/>
      <c r="F19" s="32">
        <v>0.32</v>
      </c>
    </row>
    <row r="20" spans="2:6" x14ac:dyDescent="0.25">
      <c r="B20" s="5" t="s">
        <v>18</v>
      </c>
      <c r="C20" s="1"/>
      <c r="D20" s="1"/>
      <c r="E20" s="1"/>
      <c r="F20" s="32">
        <v>1.97</v>
      </c>
    </row>
    <row r="21" spans="2:6" x14ac:dyDescent="0.25">
      <c r="B21" s="5" t="s">
        <v>19</v>
      </c>
      <c r="C21" s="1"/>
      <c r="D21" s="1"/>
      <c r="E21" s="1"/>
      <c r="F21" s="32">
        <v>3.95</v>
      </c>
    </row>
    <row r="22" spans="2:6" x14ac:dyDescent="0.25">
      <c r="B22" s="10" t="s">
        <v>20</v>
      </c>
      <c r="C22" s="1"/>
      <c r="D22" s="1"/>
      <c r="E22" s="1"/>
      <c r="F22" s="22">
        <f>SUM(F10:F21)</f>
        <v>16.93</v>
      </c>
    </row>
    <row r="23" spans="2:6" x14ac:dyDescent="0.25">
      <c r="B23" s="3" t="s">
        <v>21</v>
      </c>
      <c r="C23" s="1"/>
      <c r="D23" s="1"/>
      <c r="E23" s="1"/>
      <c r="F23" s="24"/>
    </row>
    <row r="24" spans="2:6" x14ac:dyDescent="0.25">
      <c r="B24" s="1" t="s">
        <v>317</v>
      </c>
      <c r="C24" s="1" t="s">
        <v>256</v>
      </c>
      <c r="D24" s="1">
        <v>1</v>
      </c>
      <c r="E24" s="1">
        <v>45</v>
      </c>
      <c r="F24" s="24">
        <f>E24/404.7*1000/12</f>
        <v>9.2661230541141588</v>
      </c>
    </row>
    <row r="25" spans="2:6" x14ac:dyDescent="0.25">
      <c r="B25" s="1" t="s">
        <v>318</v>
      </c>
      <c r="C25" s="1" t="s">
        <v>26</v>
      </c>
      <c r="D25" s="1">
        <v>350</v>
      </c>
      <c r="E25" s="1">
        <v>262.5</v>
      </c>
      <c r="F25" s="24">
        <f t="shared" ref="F25:F32" si="0">E25/404.7*1000/12</f>
        <v>54.052384482332592</v>
      </c>
    </row>
    <row r="26" spans="2:6" x14ac:dyDescent="0.25">
      <c r="B26" s="1" t="s">
        <v>319</v>
      </c>
      <c r="C26" s="1" t="s">
        <v>261</v>
      </c>
      <c r="D26" s="1">
        <v>8</v>
      </c>
      <c r="E26" s="1">
        <v>10.4</v>
      </c>
      <c r="F26" s="24">
        <f t="shared" si="0"/>
        <v>2.1415039947286059</v>
      </c>
    </row>
    <row r="27" spans="2:6" x14ac:dyDescent="0.25">
      <c r="B27" s="1" t="s">
        <v>320</v>
      </c>
      <c r="C27" s="1" t="s">
        <v>261</v>
      </c>
      <c r="D27" s="1">
        <v>28</v>
      </c>
      <c r="E27" s="1">
        <v>53.2</v>
      </c>
      <c r="F27" s="24">
        <f t="shared" si="0"/>
        <v>10.954616588419405</v>
      </c>
    </row>
    <row r="28" spans="2:6" x14ac:dyDescent="0.25">
      <c r="B28" s="1"/>
      <c r="C28" s="1"/>
      <c r="D28" s="1"/>
      <c r="E28" s="1"/>
      <c r="F28" s="24"/>
    </row>
    <row r="29" spans="2:6" x14ac:dyDescent="0.25">
      <c r="B29" s="1" t="s">
        <v>322</v>
      </c>
      <c r="C29" s="1" t="s">
        <v>261</v>
      </c>
      <c r="D29" s="1">
        <v>120</v>
      </c>
      <c r="E29" s="1">
        <v>144</v>
      </c>
      <c r="F29" s="24">
        <f t="shared" si="0"/>
        <v>29.651593773165306</v>
      </c>
    </row>
    <row r="30" spans="2:6" x14ac:dyDescent="0.25">
      <c r="B30" s="1" t="s">
        <v>323</v>
      </c>
      <c r="C30" s="1" t="s">
        <v>261</v>
      </c>
      <c r="D30" s="1">
        <v>160</v>
      </c>
      <c r="E30" s="1">
        <v>160</v>
      </c>
      <c r="F30" s="24">
        <f t="shared" si="0"/>
        <v>32.946215303517008</v>
      </c>
    </row>
    <row r="31" spans="2:6" x14ac:dyDescent="0.25">
      <c r="B31" s="1" t="s">
        <v>324</v>
      </c>
      <c r="C31" s="1" t="s">
        <v>261</v>
      </c>
      <c r="D31" s="1">
        <v>40</v>
      </c>
      <c r="E31" s="1">
        <v>42</v>
      </c>
      <c r="F31" s="24">
        <f t="shared" si="0"/>
        <v>8.648381517173215</v>
      </c>
    </row>
    <row r="32" spans="2:6" x14ac:dyDescent="0.25">
      <c r="B32" s="1" t="s">
        <v>325</v>
      </c>
      <c r="C32" s="1" t="s">
        <v>261</v>
      </c>
      <c r="D32" s="1">
        <v>24</v>
      </c>
      <c r="E32" s="1">
        <v>45.6</v>
      </c>
      <c r="F32" s="24">
        <f t="shared" si="0"/>
        <v>9.3896713615023479</v>
      </c>
    </row>
    <row r="33" spans="1:9" x14ac:dyDescent="0.25">
      <c r="B33" s="10" t="s">
        <v>20</v>
      </c>
      <c r="C33" s="1"/>
      <c r="D33" s="1"/>
      <c r="E33" s="4">
        <f>SUM(E24:E32)</f>
        <v>762.69999999999993</v>
      </c>
      <c r="F33" s="22">
        <f>SUM(F24:F32)</f>
        <v>157.05049007495262</v>
      </c>
    </row>
    <row r="34" spans="1:9" x14ac:dyDescent="0.25">
      <c r="A34" s="8"/>
      <c r="B34" s="4" t="s">
        <v>22</v>
      </c>
      <c r="C34" s="6"/>
      <c r="D34" s="6"/>
      <c r="E34" s="6"/>
      <c r="F34" s="23">
        <f>F22+F33</f>
        <v>173.98049007495263</v>
      </c>
      <c r="G34" s="8"/>
      <c r="H34" s="8"/>
      <c r="I34" s="8"/>
    </row>
    <row r="35" spans="1:9" x14ac:dyDescent="0.25">
      <c r="A35" s="8"/>
      <c r="B35" s="7"/>
      <c r="C35" s="7"/>
      <c r="D35" s="7"/>
      <c r="E35" s="7"/>
      <c r="F35" s="28"/>
      <c r="G35" s="8"/>
      <c r="H35" s="8"/>
      <c r="I35" s="8"/>
    </row>
    <row r="36" spans="1:9" x14ac:dyDescent="0.25">
      <c r="A36" s="8"/>
      <c r="B36" s="9"/>
      <c r="C36" s="9"/>
      <c r="D36" s="9"/>
      <c r="E36" s="9"/>
      <c r="F36" s="33"/>
      <c r="G36" s="8"/>
      <c r="H36" s="8"/>
      <c r="I36" s="8"/>
    </row>
    <row r="37" spans="1:9" x14ac:dyDescent="0.25">
      <c r="A37" s="8"/>
      <c r="B37" s="9"/>
      <c r="C37" s="9"/>
      <c r="D37" s="9"/>
      <c r="E37" s="9"/>
      <c r="F37" s="33"/>
      <c r="G37" s="8"/>
      <c r="H37" s="8"/>
      <c r="I37" s="8"/>
    </row>
    <row r="38" spans="1:9" x14ac:dyDescent="0.25">
      <c r="A38" s="8"/>
      <c r="B38" s="39" t="s">
        <v>23</v>
      </c>
      <c r="C38" s="38"/>
      <c r="D38" s="9"/>
      <c r="E38" s="39" t="s">
        <v>24</v>
      </c>
      <c r="F38" s="38"/>
      <c r="G38" s="8"/>
      <c r="H38" s="8"/>
      <c r="I38" s="8"/>
    </row>
    <row r="39" spans="1:9" x14ac:dyDescent="0.25">
      <c r="A39" s="8"/>
      <c r="B39" s="9"/>
      <c r="C39" s="9"/>
      <c r="D39" s="9"/>
      <c r="E39" s="9"/>
      <c r="F39" s="33"/>
      <c r="G39" s="8"/>
      <c r="H39" s="8"/>
      <c r="I39" s="8"/>
    </row>
    <row r="40" spans="1:9" x14ac:dyDescent="0.25">
      <c r="A40" s="8"/>
      <c r="B40" s="9"/>
      <c r="C40" s="9"/>
      <c r="D40" s="9"/>
      <c r="E40" s="9"/>
      <c r="F40" s="33"/>
      <c r="G40" s="8"/>
      <c r="H40" s="8"/>
      <c r="I40" s="8"/>
    </row>
    <row r="41" spans="1:9" ht="36.6" customHeight="1" x14ac:dyDescent="0.25">
      <c r="A41" s="8"/>
      <c r="B41" s="37" t="s">
        <v>27</v>
      </c>
      <c r="C41" s="37"/>
      <c r="D41" s="37"/>
      <c r="E41" s="37"/>
      <c r="F41" s="37"/>
      <c r="G41" s="8"/>
      <c r="H41" s="8"/>
      <c r="I41" s="8"/>
    </row>
    <row r="42" spans="1:9" ht="28.9" customHeight="1" x14ac:dyDescent="0.25">
      <c r="B42" s="37" t="s">
        <v>1</v>
      </c>
      <c r="C42" s="37"/>
      <c r="D42" s="37"/>
      <c r="E42" s="37"/>
      <c r="F42" s="37"/>
    </row>
    <row r="43" spans="1:9" x14ac:dyDescent="0.25">
      <c r="B43" s="14" t="s">
        <v>0</v>
      </c>
      <c r="C43" s="14"/>
      <c r="D43" s="14"/>
      <c r="E43" s="14"/>
      <c r="F43" s="30"/>
    </row>
    <row r="44" spans="1:9" x14ac:dyDescent="0.25">
      <c r="B44" s="12"/>
      <c r="C44" s="38" t="s">
        <v>25</v>
      </c>
      <c r="D44" s="38"/>
      <c r="E44" s="12">
        <v>281</v>
      </c>
      <c r="F44" s="31" t="s">
        <v>26</v>
      </c>
    </row>
    <row r="46" spans="1:9" ht="60" x14ac:dyDescent="0.25">
      <c r="B46" s="1" t="s">
        <v>2</v>
      </c>
      <c r="C46" s="1" t="s">
        <v>4</v>
      </c>
      <c r="D46" s="1" t="s">
        <v>3</v>
      </c>
      <c r="E46" s="1" t="s">
        <v>443</v>
      </c>
      <c r="F46" s="24" t="s">
        <v>5</v>
      </c>
    </row>
    <row r="47" spans="1:9" x14ac:dyDescent="0.25">
      <c r="B47" s="1"/>
      <c r="C47" s="1"/>
      <c r="D47" s="1"/>
      <c r="E47" s="1"/>
      <c r="F47" s="24"/>
    </row>
    <row r="48" spans="1:9" x14ac:dyDescent="0.25">
      <c r="B48" s="3" t="s">
        <v>6</v>
      </c>
      <c r="C48" s="1"/>
      <c r="D48" s="1"/>
      <c r="E48" s="1"/>
      <c r="F48" s="24"/>
    </row>
    <row r="49" spans="2:6" x14ac:dyDescent="0.25">
      <c r="B49" s="5" t="s">
        <v>7</v>
      </c>
      <c r="C49" s="1"/>
      <c r="D49" s="1"/>
      <c r="E49" s="1"/>
      <c r="F49" s="32">
        <v>2.0099999999999998</v>
      </c>
    </row>
    <row r="50" spans="2:6" x14ac:dyDescent="0.25">
      <c r="B50" s="5" t="s">
        <v>8</v>
      </c>
      <c r="C50" s="1"/>
      <c r="D50" s="1"/>
      <c r="E50" s="1"/>
      <c r="F50" s="32">
        <v>5.34</v>
      </c>
    </row>
    <row r="51" spans="2:6" x14ac:dyDescent="0.25">
      <c r="B51" s="5" t="s">
        <v>11</v>
      </c>
      <c r="C51" s="1"/>
      <c r="D51" s="1"/>
      <c r="E51" s="1"/>
      <c r="F51" s="32">
        <v>0.55000000000000004</v>
      </c>
    </row>
    <row r="52" spans="2:6" x14ac:dyDescent="0.25">
      <c r="B52" s="5" t="s">
        <v>12</v>
      </c>
      <c r="C52" s="1"/>
      <c r="D52" s="1"/>
      <c r="E52" s="1"/>
      <c r="F52" s="32">
        <v>0.53</v>
      </c>
    </row>
    <row r="53" spans="2:6" x14ac:dyDescent="0.25">
      <c r="B53" s="5" t="s">
        <v>13</v>
      </c>
      <c r="C53" s="1"/>
      <c r="D53" s="1"/>
      <c r="E53" s="1"/>
      <c r="F53" s="32">
        <v>0.19</v>
      </c>
    </row>
    <row r="54" spans="2:6" x14ac:dyDescent="0.25">
      <c r="B54" s="5" t="s">
        <v>14</v>
      </c>
      <c r="C54" s="1"/>
      <c r="D54" s="1"/>
      <c r="E54" s="1"/>
      <c r="F54" s="32">
        <v>1.25</v>
      </c>
    </row>
    <row r="55" spans="2:6" ht="24.75" x14ac:dyDescent="0.25">
      <c r="B55" s="5" t="s">
        <v>9</v>
      </c>
      <c r="C55" s="1"/>
      <c r="D55" s="1"/>
      <c r="E55" s="1"/>
      <c r="F55" s="32">
        <v>0.26</v>
      </c>
    </row>
    <row r="56" spans="2:6" x14ac:dyDescent="0.25">
      <c r="B56" s="5" t="s">
        <v>15</v>
      </c>
      <c r="C56" s="1"/>
      <c r="D56" s="1"/>
      <c r="E56" s="1"/>
      <c r="F56" s="32">
        <v>0.27</v>
      </c>
    </row>
    <row r="57" spans="2:6" ht="24.75" x14ac:dyDescent="0.25">
      <c r="B57" s="5" t="s">
        <v>16</v>
      </c>
      <c r="C57" s="1"/>
      <c r="D57" s="1"/>
      <c r="E57" s="1"/>
      <c r="F57" s="32">
        <v>0.28999999999999998</v>
      </c>
    </row>
    <row r="58" spans="2:6" x14ac:dyDescent="0.25">
      <c r="B58" s="5" t="s">
        <v>17</v>
      </c>
      <c r="C58" s="1"/>
      <c r="D58" s="1"/>
      <c r="E58" s="1"/>
      <c r="F58" s="32">
        <v>0.32</v>
      </c>
    </row>
    <row r="59" spans="2:6" x14ac:dyDescent="0.25">
      <c r="B59" s="5" t="s">
        <v>18</v>
      </c>
      <c r="C59" s="1"/>
      <c r="D59" s="1"/>
      <c r="E59" s="1"/>
      <c r="F59" s="32">
        <v>1.97</v>
      </c>
    </row>
    <row r="60" spans="2:6" x14ac:dyDescent="0.25">
      <c r="B60" s="5" t="s">
        <v>19</v>
      </c>
      <c r="C60" s="1"/>
      <c r="D60" s="1"/>
      <c r="E60" s="1"/>
      <c r="F60" s="32">
        <v>3.95</v>
      </c>
    </row>
    <row r="61" spans="2:6" x14ac:dyDescent="0.25">
      <c r="B61" s="10" t="s">
        <v>20</v>
      </c>
      <c r="C61" s="1"/>
      <c r="D61" s="1"/>
      <c r="E61" s="1"/>
      <c r="F61" s="22">
        <f>SUM(F49:F60)</f>
        <v>16.93</v>
      </c>
    </row>
    <row r="62" spans="2:6" x14ac:dyDescent="0.25">
      <c r="B62" s="3" t="s">
        <v>21</v>
      </c>
      <c r="C62" s="1"/>
      <c r="D62" s="1"/>
      <c r="E62" s="1"/>
      <c r="F62" s="24"/>
    </row>
    <row r="63" spans="2:6" x14ac:dyDescent="0.25">
      <c r="B63" s="1" t="s">
        <v>317</v>
      </c>
      <c r="C63" s="1" t="s">
        <v>256</v>
      </c>
      <c r="D63" s="1">
        <v>1</v>
      </c>
      <c r="E63" s="1">
        <v>45</v>
      </c>
      <c r="F63" s="24">
        <f>E63/281*1000/12</f>
        <v>13.345195729537368</v>
      </c>
    </row>
    <row r="64" spans="2:6" x14ac:dyDescent="0.25">
      <c r="B64" s="1" t="s">
        <v>326</v>
      </c>
      <c r="C64" s="1" t="s">
        <v>26</v>
      </c>
      <c r="D64" s="1">
        <v>16</v>
      </c>
      <c r="E64" s="1">
        <v>24</v>
      </c>
      <c r="F64" s="24">
        <f t="shared" ref="F64:F75" si="1">E64/281*1000/12</f>
        <v>7.117437722419929</v>
      </c>
    </row>
    <row r="65" spans="2:6" x14ac:dyDescent="0.25">
      <c r="B65" s="1" t="s">
        <v>327</v>
      </c>
      <c r="C65" s="1" t="s">
        <v>26</v>
      </c>
      <c r="D65" s="1">
        <v>105</v>
      </c>
      <c r="E65" s="1">
        <v>95</v>
      </c>
      <c r="F65" s="24">
        <f t="shared" si="1"/>
        <v>28.173190984578884</v>
      </c>
    </row>
    <row r="66" spans="2:6" x14ac:dyDescent="0.25">
      <c r="B66" s="1" t="s">
        <v>275</v>
      </c>
      <c r="C66" s="1" t="s">
        <v>26</v>
      </c>
      <c r="D66" s="1">
        <v>60</v>
      </c>
      <c r="E66" s="1">
        <v>90</v>
      </c>
      <c r="F66" s="24">
        <f t="shared" si="1"/>
        <v>26.690391459074736</v>
      </c>
    </row>
    <row r="67" spans="2:6" x14ac:dyDescent="0.25">
      <c r="B67" s="1" t="s">
        <v>328</v>
      </c>
      <c r="C67" s="1" t="s">
        <v>26</v>
      </c>
      <c r="D67" s="1">
        <v>41</v>
      </c>
      <c r="E67" s="1">
        <v>24.6</v>
      </c>
      <c r="F67" s="24">
        <f t="shared" si="1"/>
        <v>7.2953736654804269</v>
      </c>
    </row>
    <row r="68" spans="2:6" x14ac:dyDescent="0.25">
      <c r="B68" s="1" t="s">
        <v>329</v>
      </c>
      <c r="C68" s="1" t="s">
        <v>26</v>
      </c>
      <c r="D68" s="1">
        <v>60</v>
      </c>
      <c r="E68" s="1">
        <v>36</v>
      </c>
      <c r="F68" s="24">
        <f t="shared" si="1"/>
        <v>10.676156583629895</v>
      </c>
    </row>
    <row r="69" spans="2:6" x14ac:dyDescent="0.25">
      <c r="B69" s="1" t="s">
        <v>330</v>
      </c>
      <c r="C69" s="1" t="s">
        <v>331</v>
      </c>
      <c r="D69" s="1">
        <v>22</v>
      </c>
      <c r="E69" s="1">
        <v>28.6</v>
      </c>
      <c r="F69" s="24">
        <f t="shared" si="1"/>
        <v>8.4816132858837481</v>
      </c>
    </row>
    <row r="70" spans="2:6" x14ac:dyDescent="0.25">
      <c r="B70" s="1" t="s">
        <v>319</v>
      </c>
      <c r="C70" s="1" t="s">
        <v>331</v>
      </c>
      <c r="D70" s="1">
        <v>12</v>
      </c>
      <c r="E70" s="1">
        <v>15.6</v>
      </c>
      <c r="F70" s="24">
        <f t="shared" si="1"/>
        <v>4.6263345195729535</v>
      </c>
    </row>
    <row r="71" spans="2:6" x14ac:dyDescent="0.25">
      <c r="B71" s="1" t="s">
        <v>320</v>
      </c>
      <c r="C71" s="1" t="s">
        <v>331</v>
      </c>
      <c r="D71" s="1">
        <v>18</v>
      </c>
      <c r="E71" s="1">
        <v>34.200000000000003</v>
      </c>
      <c r="F71" s="24">
        <f t="shared" si="1"/>
        <v>10.142348754448401</v>
      </c>
    </row>
    <row r="72" spans="2:6" x14ac:dyDescent="0.25">
      <c r="B72" s="1" t="s">
        <v>325</v>
      </c>
      <c r="C72" s="1" t="s">
        <v>331</v>
      </c>
      <c r="D72" s="1">
        <v>15</v>
      </c>
      <c r="E72" s="1">
        <v>19.5</v>
      </c>
      <c r="F72" s="24">
        <f t="shared" si="1"/>
        <v>5.7829181494661919</v>
      </c>
    </row>
    <row r="73" spans="2:6" x14ac:dyDescent="0.25">
      <c r="B73" s="1"/>
      <c r="C73" s="1"/>
      <c r="D73" s="1"/>
      <c r="E73" s="1"/>
      <c r="F73" s="24"/>
    </row>
    <row r="74" spans="2:6" x14ac:dyDescent="0.25">
      <c r="B74" s="1" t="s">
        <v>322</v>
      </c>
      <c r="C74" s="1" t="s">
        <v>261</v>
      </c>
      <c r="D74" s="1">
        <v>90</v>
      </c>
      <c r="E74" s="1">
        <v>108</v>
      </c>
      <c r="F74" s="24">
        <f t="shared" si="1"/>
        <v>32.028469750889677</v>
      </c>
    </row>
    <row r="75" spans="2:6" x14ac:dyDescent="0.25">
      <c r="B75" s="1" t="s">
        <v>323</v>
      </c>
      <c r="C75" s="1" t="s">
        <v>261</v>
      </c>
      <c r="D75" s="1">
        <v>140</v>
      </c>
      <c r="E75" s="1">
        <v>140</v>
      </c>
      <c r="F75" s="24">
        <f t="shared" si="1"/>
        <v>41.518386714116254</v>
      </c>
    </row>
    <row r="76" spans="2:6" x14ac:dyDescent="0.25">
      <c r="B76" s="10" t="s">
        <v>20</v>
      </c>
      <c r="C76" s="1"/>
      <c r="D76" s="1"/>
      <c r="E76" s="4">
        <f>SUM(E63:E75)</f>
        <v>660.5</v>
      </c>
      <c r="F76" s="22">
        <f>SUM(F63:F75)</f>
        <v>195.87781731909845</v>
      </c>
    </row>
    <row r="77" spans="2:6" x14ac:dyDescent="0.25">
      <c r="B77" s="4" t="s">
        <v>22</v>
      </c>
      <c r="C77" s="6"/>
      <c r="D77" s="6"/>
      <c r="E77" s="6"/>
      <c r="F77" s="23">
        <f>F61+F76</f>
        <v>212.80781731909846</v>
      </c>
    </row>
    <row r="78" spans="2:6" x14ac:dyDescent="0.25">
      <c r="B78" s="7"/>
      <c r="C78" s="7"/>
      <c r="D78" s="7"/>
      <c r="E78" s="7"/>
      <c r="F78" s="28"/>
    </row>
    <row r="79" spans="2:6" x14ac:dyDescent="0.25">
      <c r="B79" s="13"/>
      <c r="C79" s="13"/>
      <c r="D79" s="13"/>
      <c r="E79" s="13"/>
      <c r="F79" s="33"/>
    </row>
    <row r="80" spans="2:6" x14ac:dyDescent="0.25">
      <c r="B80" s="13"/>
      <c r="C80" s="13"/>
      <c r="D80" s="13"/>
      <c r="E80" s="13"/>
      <c r="F80" s="33"/>
    </row>
    <row r="81" spans="2:6" x14ac:dyDescent="0.25">
      <c r="B81" s="39" t="s">
        <v>23</v>
      </c>
      <c r="C81" s="38"/>
      <c r="D81" s="13"/>
      <c r="E81" s="39" t="s">
        <v>24</v>
      </c>
      <c r="F81" s="38"/>
    </row>
    <row r="82" spans="2:6" x14ac:dyDescent="0.25">
      <c r="B82" s="13"/>
      <c r="C82" s="13"/>
      <c r="D82" s="13"/>
      <c r="E82" s="13"/>
      <c r="F82" s="33"/>
    </row>
    <row r="85" spans="2:6" ht="29.45" customHeight="1" x14ac:dyDescent="0.25">
      <c r="B85" s="37" t="s">
        <v>28</v>
      </c>
      <c r="C85" s="37"/>
      <c r="D85" s="37"/>
      <c r="E85" s="37"/>
      <c r="F85" s="37"/>
    </row>
    <row r="86" spans="2:6" ht="29.45" customHeight="1" x14ac:dyDescent="0.25">
      <c r="B86" s="37" t="s">
        <v>1</v>
      </c>
      <c r="C86" s="37"/>
      <c r="D86" s="37"/>
      <c r="E86" s="37"/>
      <c r="F86" s="37"/>
    </row>
    <row r="87" spans="2:6" x14ac:dyDescent="0.25">
      <c r="B87" s="14" t="s">
        <v>0</v>
      </c>
      <c r="C87" s="14"/>
      <c r="D87" s="14"/>
      <c r="E87" s="14"/>
      <c r="F87" s="30"/>
    </row>
    <row r="88" spans="2:6" x14ac:dyDescent="0.25">
      <c r="B88" s="12"/>
      <c r="C88" s="38" t="s">
        <v>25</v>
      </c>
      <c r="D88" s="38"/>
      <c r="E88" s="12">
        <v>396.5</v>
      </c>
      <c r="F88" s="31" t="s">
        <v>26</v>
      </c>
    </row>
    <row r="90" spans="2:6" ht="60" x14ac:dyDescent="0.25">
      <c r="B90" s="1" t="s">
        <v>2</v>
      </c>
      <c r="C90" s="1" t="s">
        <v>4</v>
      </c>
      <c r="D90" s="1" t="s">
        <v>3</v>
      </c>
      <c r="E90" s="1" t="s">
        <v>443</v>
      </c>
      <c r="F90" s="24" t="s">
        <v>5</v>
      </c>
    </row>
    <row r="91" spans="2:6" x14ac:dyDescent="0.25">
      <c r="B91" s="1"/>
      <c r="C91" s="1"/>
      <c r="D91" s="1"/>
      <c r="E91" s="1"/>
      <c r="F91" s="24"/>
    </row>
    <row r="92" spans="2:6" x14ac:dyDescent="0.25">
      <c r="B92" s="3" t="s">
        <v>6</v>
      </c>
      <c r="C92" s="1"/>
      <c r="D92" s="1"/>
      <c r="E92" s="1"/>
      <c r="F92" s="24"/>
    </row>
    <row r="93" spans="2:6" x14ac:dyDescent="0.25">
      <c r="B93" s="5" t="s">
        <v>7</v>
      </c>
      <c r="C93" s="1"/>
      <c r="D93" s="1"/>
      <c r="E93" s="1"/>
      <c r="F93" s="32">
        <v>2.0099999999999998</v>
      </c>
    </row>
    <row r="94" spans="2:6" x14ac:dyDescent="0.25">
      <c r="B94" s="5" t="s">
        <v>8</v>
      </c>
      <c r="C94" s="1"/>
      <c r="D94" s="1"/>
      <c r="E94" s="1"/>
      <c r="F94" s="32">
        <v>5.34</v>
      </c>
    </row>
    <row r="95" spans="2:6" x14ac:dyDescent="0.25">
      <c r="B95" s="5" t="s">
        <v>11</v>
      </c>
      <c r="C95" s="1"/>
      <c r="D95" s="1"/>
      <c r="E95" s="1"/>
      <c r="F95" s="32">
        <v>0.55000000000000004</v>
      </c>
    </row>
    <row r="96" spans="2:6" x14ac:dyDescent="0.25">
      <c r="B96" s="5" t="s">
        <v>12</v>
      </c>
      <c r="C96" s="1"/>
      <c r="D96" s="1"/>
      <c r="E96" s="1"/>
      <c r="F96" s="32">
        <v>0.53</v>
      </c>
    </row>
    <row r="97" spans="2:6" x14ac:dyDescent="0.25">
      <c r="B97" s="5" t="s">
        <v>13</v>
      </c>
      <c r="C97" s="1"/>
      <c r="D97" s="1"/>
      <c r="E97" s="1"/>
      <c r="F97" s="32">
        <v>0.19</v>
      </c>
    </row>
    <row r="98" spans="2:6" x14ac:dyDescent="0.25">
      <c r="B98" s="5" t="s">
        <v>14</v>
      </c>
      <c r="C98" s="1"/>
      <c r="D98" s="1"/>
      <c r="E98" s="1"/>
      <c r="F98" s="32">
        <v>1.25</v>
      </c>
    </row>
    <row r="99" spans="2:6" ht="24.75" x14ac:dyDescent="0.25">
      <c r="B99" s="5" t="s">
        <v>9</v>
      </c>
      <c r="C99" s="1"/>
      <c r="D99" s="1"/>
      <c r="E99" s="1"/>
      <c r="F99" s="32">
        <v>0.26</v>
      </c>
    </row>
    <row r="100" spans="2:6" x14ac:dyDescent="0.25">
      <c r="B100" s="5" t="s">
        <v>15</v>
      </c>
      <c r="C100" s="1"/>
      <c r="D100" s="1"/>
      <c r="E100" s="1"/>
      <c r="F100" s="32">
        <v>0.27</v>
      </c>
    </row>
    <row r="101" spans="2:6" ht="24.75" x14ac:dyDescent="0.25">
      <c r="B101" s="5" t="s">
        <v>16</v>
      </c>
      <c r="C101" s="1"/>
      <c r="D101" s="1"/>
      <c r="E101" s="1"/>
      <c r="F101" s="32">
        <v>0.28999999999999998</v>
      </c>
    </row>
    <row r="102" spans="2:6" x14ac:dyDescent="0.25">
      <c r="B102" s="5" t="s">
        <v>17</v>
      </c>
      <c r="C102" s="1"/>
      <c r="D102" s="1"/>
      <c r="E102" s="1"/>
      <c r="F102" s="32">
        <v>0.32</v>
      </c>
    </row>
    <row r="103" spans="2:6" x14ac:dyDescent="0.25">
      <c r="B103" s="5" t="s">
        <v>18</v>
      </c>
      <c r="C103" s="1"/>
      <c r="D103" s="1"/>
      <c r="E103" s="1"/>
      <c r="F103" s="32">
        <v>1.97</v>
      </c>
    </row>
    <row r="104" spans="2:6" x14ac:dyDescent="0.25">
      <c r="B104" s="5" t="s">
        <v>19</v>
      </c>
      <c r="C104" s="1"/>
      <c r="D104" s="1"/>
      <c r="E104" s="1"/>
      <c r="F104" s="32">
        <v>3.95</v>
      </c>
    </row>
    <row r="105" spans="2:6" x14ac:dyDescent="0.25">
      <c r="B105" s="10" t="s">
        <v>20</v>
      </c>
      <c r="C105" s="1"/>
      <c r="D105" s="1"/>
      <c r="E105" s="1"/>
      <c r="F105" s="22">
        <f>SUM(F93:F104)</f>
        <v>16.93</v>
      </c>
    </row>
    <row r="106" spans="2:6" x14ac:dyDescent="0.25">
      <c r="B106" s="3" t="s">
        <v>21</v>
      </c>
      <c r="C106" s="1"/>
      <c r="D106" s="1"/>
      <c r="E106" s="1"/>
      <c r="F106" s="24"/>
    </row>
    <row r="107" spans="2:6" x14ac:dyDescent="0.25">
      <c r="B107" s="1" t="s">
        <v>317</v>
      </c>
      <c r="C107" s="1" t="s">
        <v>256</v>
      </c>
      <c r="D107" s="1">
        <v>1</v>
      </c>
      <c r="E107" s="1">
        <v>45</v>
      </c>
      <c r="F107" s="24">
        <f>E107/396.5*1000/12</f>
        <v>9.457755359394703</v>
      </c>
    </row>
    <row r="108" spans="2:6" x14ac:dyDescent="0.25">
      <c r="B108" s="1" t="s">
        <v>272</v>
      </c>
      <c r="C108" s="1" t="s">
        <v>26</v>
      </c>
      <c r="D108" s="1">
        <v>2</v>
      </c>
      <c r="E108" s="1">
        <v>20</v>
      </c>
      <c r="F108" s="24">
        <f t="shared" ref="F108:F117" si="2">E108/396.5*1000/12</f>
        <v>4.2034468263976459</v>
      </c>
    </row>
    <row r="109" spans="2:6" x14ac:dyDescent="0.25">
      <c r="B109" s="1" t="s">
        <v>275</v>
      </c>
      <c r="C109" s="1" t="s">
        <v>26</v>
      </c>
      <c r="D109" s="1">
        <v>70</v>
      </c>
      <c r="E109" s="1">
        <v>105</v>
      </c>
      <c r="F109" s="24">
        <f t="shared" si="2"/>
        <v>22.068095838587638</v>
      </c>
    </row>
    <row r="110" spans="2:6" x14ac:dyDescent="0.25">
      <c r="B110" s="1" t="s">
        <v>328</v>
      </c>
      <c r="C110" s="1" t="s">
        <v>26</v>
      </c>
      <c r="D110" s="1">
        <v>37</v>
      </c>
      <c r="E110" s="1">
        <v>22.2</v>
      </c>
      <c r="F110" s="24">
        <f t="shared" si="2"/>
        <v>4.6658259773013873</v>
      </c>
    </row>
    <row r="111" spans="2:6" x14ac:dyDescent="0.25">
      <c r="B111" s="1" t="s">
        <v>330</v>
      </c>
      <c r="C111" s="1" t="s">
        <v>331</v>
      </c>
      <c r="D111" s="1">
        <v>34</v>
      </c>
      <c r="E111" s="1">
        <v>44.2</v>
      </c>
      <c r="F111" s="24">
        <f t="shared" si="2"/>
        <v>9.2896174863387984</v>
      </c>
    </row>
    <row r="112" spans="2:6" x14ac:dyDescent="0.25">
      <c r="B112" s="1" t="s">
        <v>319</v>
      </c>
      <c r="C112" s="1" t="s">
        <v>331</v>
      </c>
      <c r="D112" s="1">
        <v>12</v>
      </c>
      <c r="E112" s="1">
        <v>15.6</v>
      </c>
      <c r="F112" s="24">
        <f t="shared" si="2"/>
        <v>3.2786885245901636</v>
      </c>
    </row>
    <row r="113" spans="2:6" x14ac:dyDescent="0.25">
      <c r="B113" s="1" t="s">
        <v>320</v>
      </c>
      <c r="C113" s="1" t="s">
        <v>331</v>
      </c>
      <c r="D113" s="1">
        <v>30</v>
      </c>
      <c r="E113" s="1">
        <v>57</v>
      </c>
      <c r="F113" s="24">
        <f t="shared" si="2"/>
        <v>11.979823455233293</v>
      </c>
    </row>
    <row r="114" spans="2:6" x14ac:dyDescent="0.25">
      <c r="B114" s="1" t="s">
        <v>325</v>
      </c>
      <c r="C114" s="1" t="s">
        <v>331</v>
      </c>
      <c r="D114" s="1">
        <v>24</v>
      </c>
      <c r="E114" s="1">
        <v>45.6</v>
      </c>
      <c r="F114" s="24">
        <f t="shared" si="2"/>
        <v>9.5838587641866333</v>
      </c>
    </row>
    <row r="115" spans="2:6" x14ac:dyDescent="0.25">
      <c r="B115" s="1" t="s">
        <v>321</v>
      </c>
      <c r="C115" s="1" t="s">
        <v>256</v>
      </c>
      <c r="D115" s="1">
        <v>2</v>
      </c>
      <c r="E115" s="1">
        <v>100</v>
      </c>
      <c r="F115" s="24">
        <f t="shared" si="2"/>
        <v>21.017234131988232</v>
      </c>
    </row>
    <row r="116" spans="2:6" x14ac:dyDescent="0.25">
      <c r="B116" s="1" t="s">
        <v>322</v>
      </c>
      <c r="C116" s="1" t="s">
        <v>261</v>
      </c>
      <c r="D116" s="1">
        <v>120</v>
      </c>
      <c r="E116" s="1">
        <v>144</v>
      </c>
      <c r="F116" s="24">
        <f t="shared" si="2"/>
        <v>30.264817150063053</v>
      </c>
    </row>
    <row r="117" spans="2:6" x14ac:dyDescent="0.25">
      <c r="B117" s="1" t="s">
        <v>323</v>
      </c>
      <c r="C117" s="1" t="s">
        <v>261</v>
      </c>
      <c r="D117" s="1">
        <v>160</v>
      </c>
      <c r="E117" s="1">
        <v>160</v>
      </c>
      <c r="F117" s="24">
        <f t="shared" si="2"/>
        <v>33.627574611181167</v>
      </c>
    </row>
    <row r="118" spans="2:6" x14ac:dyDescent="0.25">
      <c r="B118" s="10" t="s">
        <v>20</v>
      </c>
      <c r="C118" s="1"/>
      <c r="D118" s="1"/>
      <c r="E118" s="4">
        <f>SUM(E107:E117)</f>
        <v>758.6</v>
      </c>
      <c r="F118" s="22">
        <f>SUM(F107:F117)</f>
        <v>159.43673812526271</v>
      </c>
    </row>
    <row r="119" spans="2:6" x14ac:dyDescent="0.25">
      <c r="B119" s="4" t="s">
        <v>22</v>
      </c>
      <c r="C119" s="6"/>
      <c r="D119" s="6"/>
      <c r="E119" s="6"/>
      <c r="F119" s="23">
        <f>F105+F118</f>
        <v>176.36673812526271</v>
      </c>
    </row>
    <row r="120" spans="2:6" x14ac:dyDescent="0.25">
      <c r="B120" s="7"/>
      <c r="C120" s="7"/>
      <c r="D120" s="7"/>
      <c r="E120" s="7"/>
      <c r="F120" s="28"/>
    </row>
    <row r="121" spans="2:6" x14ac:dyDescent="0.25">
      <c r="B121" s="13"/>
      <c r="C121" s="13"/>
      <c r="D121" s="13"/>
      <c r="E121" s="13"/>
      <c r="F121" s="33"/>
    </row>
    <row r="122" spans="2:6" x14ac:dyDescent="0.25">
      <c r="B122" s="13"/>
      <c r="C122" s="13"/>
      <c r="D122" s="13"/>
      <c r="E122" s="13"/>
      <c r="F122" s="33"/>
    </row>
    <row r="123" spans="2:6" x14ac:dyDescent="0.25">
      <c r="B123" s="39" t="s">
        <v>23</v>
      </c>
      <c r="C123" s="38"/>
      <c r="D123" s="13"/>
      <c r="E123" s="39" t="s">
        <v>24</v>
      </c>
      <c r="F123" s="38"/>
    </row>
    <row r="124" spans="2:6" x14ac:dyDescent="0.25">
      <c r="B124" s="13"/>
      <c r="C124" s="13"/>
      <c r="D124" s="13"/>
      <c r="E124" s="13"/>
      <c r="F124" s="33"/>
    </row>
    <row r="127" spans="2:6" ht="28.9" customHeight="1" x14ac:dyDescent="0.25">
      <c r="B127" s="37" t="s">
        <v>29</v>
      </c>
      <c r="C127" s="37"/>
      <c r="D127" s="37"/>
      <c r="E127" s="37"/>
      <c r="F127" s="37"/>
    </row>
    <row r="128" spans="2:6" ht="31.9" customHeight="1" x14ac:dyDescent="0.25">
      <c r="B128" s="37" t="s">
        <v>1</v>
      </c>
      <c r="C128" s="37"/>
      <c r="D128" s="37"/>
      <c r="E128" s="37"/>
      <c r="F128" s="37"/>
    </row>
    <row r="129" spans="2:6" x14ac:dyDescent="0.25">
      <c r="B129" s="14" t="s">
        <v>0</v>
      </c>
      <c r="C129" s="14"/>
      <c r="D129" s="14"/>
      <c r="E129" s="14"/>
      <c r="F129" s="30"/>
    </row>
    <row r="130" spans="2:6" x14ac:dyDescent="0.25">
      <c r="B130" s="12"/>
      <c r="C130" s="38" t="s">
        <v>25</v>
      </c>
      <c r="D130" s="38"/>
      <c r="E130" s="12">
        <v>2898.5</v>
      </c>
      <c r="F130" s="31" t="s">
        <v>26</v>
      </c>
    </row>
    <row r="132" spans="2:6" ht="60" x14ac:dyDescent="0.25">
      <c r="B132" s="1" t="s">
        <v>2</v>
      </c>
      <c r="C132" s="1" t="s">
        <v>4</v>
      </c>
      <c r="D132" s="1" t="s">
        <v>3</v>
      </c>
      <c r="E132" s="1" t="s">
        <v>443</v>
      </c>
      <c r="F132" s="24" t="s">
        <v>5</v>
      </c>
    </row>
    <row r="133" spans="2:6" x14ac:dyDescent="0.25">
      <c r="B133" s="1"/>
      <c r="C133" s="1"/>
      <c r="D133" s="1"/>
      <c r="E133" s="1"/>
      <c r="F133" s="24"/>
    </row>
    <row r="134" spans="2:6" x14ac:dyDescent="0.25">
      <c r="B134" s="3" t="s">
        <v>6</v>
      </c>
      <c r="C134" s="1"/>
      <c r="D134" s="1"/>
      <c r="E134" s="1"/>
      <c r="F134" s="24"/>
    </row>
    <row r="135" spans="2:6" x14ac:dyDescent="0.25">
      <c r="B135" s="5" t="s">
        <v>7</v>
      </c>
      <c r="C135" s="1"/>
      <c r="D135" s="1"/>
      <c r="E135" s="1"/>
      <c r="F135" s="32">
        <v>2.0099999999999998</v>
      </c>
    </row>
    <row r="136" spans="2:6" x14ac:dyDescent="0.25">
      <c r="B136" s="5" t="s">
        <v>8</v>
      </c>
      <c r="C136" s="1"/>
      <c r="D136" s="1"/>
      <c r="E136" s="1"/>
      <c r="F136" s="32">
        <v>5.34</v>
      </c>
    </row>
    <row r="137" spans="2:6" x14ac:dyDescent="0.25">
      <c r="B137" s="15" t="s">
        <v>30</v>
      </c>
      <c r="C137" s="1"/>
      <c r="D137" s="1"/>
      <c r="E137" s="1"/>
      <c r="F137" s="32">
        <v>0.06</v>
      </c>
    </row>
    <row r="138" spans="2:6" x14ac:dyDescent="0.25">
      <c r="B138" s="5" t="s">
        <v>11</v>
      </c>
      <c r="C138" s="1"/>
      <c r="D138" s="1"/>
      <c r="E138" s="1"/>
      <c r="F138" s="32">
        <v>0.55000000000000004</v>
      </c>
    </row>
    <row r="139" spans="2:6" x14ac:dyDescent="0.25">
      <c r="B139" s="5" t="s">
        <v>12</v>
      </c>
      <c r="C139" s="1"/>
      <c r="D139" s="1"/>
      <c r="E139" s="1"/>
      <c r="F139" s="32">
        <v>0.53</v>
      </c>
    </row>
    <row r="140" spans="2:6" x14ac:dyDescent="0.25">
      <c r="B140" s="5" t="s">
        <v>13</v>
      </c>
      <c r="C140" s="1"/>
      <c r="D140" s="1"/>
      <c r="E140" s="1"/>
      <c r="F140" s="32">
        <v>0.19</v>
      </c>
    </row>
    <row r="141" spans="2:6" x14ac:dyDescent="0.25">
      <c r="B141" s="5" t="s">
        <v>14</v>
      </c>
      <c r="C141" s="1"/>
      <c r="D141" s="1"/>
      <c r="E141" s="1"/>
      <c r="F141" s="32">
        <v>1.25</v>
      </c>
    </row>
    <row r="142" spans="2:6" ht="24.75" x14ac:dyDescent="0.25">
      <c r="B142" s="5" t="s">
        <v>9</v>
      </c>
      <c r="C142" s="1"/>
      <c r="D142" s="1"/>
      <c r="E142" s="1"/>
      <c r="F142" s="32">
        <v>0.26</v>
      </c>
    </row>
    <row r="143" spans="2:6" x14ac:dyDescent="0.25">
      <c r="B143" s="5" t="s">
        <v>15</v>
      </c>
      <c r="C143" s="1"/>
      <c r="D143" s="1"/>
      <c r="E143" s="1"/>
      <c r="F143" s="32">
        <v>0.27</v>
      </c>
    </row>
    <row r="144" spans="2:6" ht="24.75" x14ac:dyDescent="0.25">
      <c r="B144" s="5" t="s">
        <v>16</v>
      </c>
      <c r="C144" s="1"/>
      <c r="D144" s="1"/>
      <c r="E144" s="1"/>
      <c r="F144" s="32">
        <v>0.28999999999999998</v>
      </c>
    </row>
    <row r="145" spans="2:6" x14ac:dyDescent="0.25">
      <c r="B145" s="5" t="s">
        <v>17</v>
      </c>
      <c r="C145" s="1"/>
      <c r="D145" s="1"/>
      <c r="E145" s="1"/>
      <c r="F145" s="32">
        <v>0.32</v>
      </c>
    </row>
    <row r="146" spans="2:6" x14ac:dyDescent="0.25">
      <c r="B146" s="5" t="s">
        <v>18</v>
      </c>
      <c r="C146" s="1"/>
      <c r="D146" s="1"/>
      <c r="E146" s="1"/>
      <c r="F146" s="32">
        <v>1.97</v>
      </c>
    </row>
    <row r="147" spans="2:6" x14ac:dyDescent="0.25">
      <c r="B147" s="5" t="s">
        <v>19</v>
      </c>
      <c r="C147" s="1"/>
      <c r="D147" s="1"/>
      <c r="E147" s="1"/>
      <c r="F147" s="32">
        <v>3.95</v>
      </c>
    </row>
    <row r="148" spans="2:6" x14ac:dyDescent="0.25">
      <c r="B148" s="10" t="s">
        <v>20</v>
      </c>
      <c r="C148" s="1"/>
      <c r="D148" s="1"/>
      <c r="E148" s="1"/>
      <c r="F148" s="22">
        <f>SUM(F135:F147)</f>
        <v>16.989999999999998</v>
      </c>
    </row>
    <row r="149" spans="2:6" x14ac:dyDescent="0.25">
      <c r="B149" s="3" t="s">
        <v>21</v>
      </c>
      <c r="C149" s="1"/>
      <c r="D149" s="1"/>
      <c r="E149" s="1"/>
      <c r="F149" s="24"/>
    </row>
    <row r="150" spans="2:6" x14ac:dyDescent="0.25">
      <c r="B150" s="1" t="s">
        <v>317</v>
      </c>
      <c r="C150" s="1" t="s">
        <v>338</v>
      </c>
      <c r="D150" s="1">
        <v>1</v>
      </c>
      <c r="E150" s="1">
        <v>60</v>
      </c>
      <c r="F150" s="24">
        <f>E150/2898.5*1000/12</f>
        <v>1.7250301880282903</v>
      </c>
    </row>
    <row r="151" spans="2:6" x14ac:dyDescent="0.25">
      <c r="B151" s="1" t="s">
        <v>332</v>
      </c>
      <c r="C151" s="1" t="s">
        <v>26</v>
      </c>
      <c r="D151" s="1">
        <v>13</v>
      </c>
      <c r="E151" s="1">
        <v>2.6</v>
      </c>
      <c r="F151" s="24">
        <f t="shared" ref="F151:F164" si="3">E151/2898.5*1000/12</f>
        <v>7.4751308147892589E-2</v>
      </c>
    </row>
    <row r="152" spans="2:6" x14ac:dyDescent="0.25">
      <c r="B152" s="1" t="s">
        <v>326</v>
      </c>
      <c r="C152" s="1" t="s">
        <v>26</v>
      </c>
      <c r="D152" s="1">
        <v>428</v>
      </c>
      <c r="E152" s="1">
        <v>428</v>
      </c>
      <c r="F152" s="24">
        <f t="shared" si="3"/>
        <v>12.305215341268473</v>
      </c>
    </row>
    <row r="153" spans="2:6" x14ac:dyDescent="0.25">
      <c r="B153" s="1" t="s">
        <v>333</v>
      </c>
      <c r="C153" s="1" t="s">
        <v>265</v>
      </c>
      <c r="D153" s="1">
        <v>2</v>
      </c>
      <c r="E153" s="1">
        <v>40</v>
      </c>
      <c r="F153" s="24">
        <f t="shared" si="3"/>
        <v>1.1500201253521936</v>
      </c>
    </row>
    <row r="154" spans="2:6" x14ac:dyDescent="0.25">
      <c r="B154" s="1" t="s">
        <v>327</v>
      </c>
      <c r="C154" s="1" t="s">
        <v>261</v>
      </c>
      <c r="D154" s="1">
        <v>150</v>
      </c>
      <c r="E154" s="1">
        <v>120</v>
      </c>
      <c r="F154" s="24">
        <f t="shared" si="3"/>
        <v>3.4500603760565807</v>
      </c>
    </row>
    <row r="155" spans="2:6" x14ac:dyDescent="0.25">
      <c r="B155" s="1"/>
      <c r="C155" s="1"/>
      <c r="D155" s="1"/>
      <c r="E155" s="1"/>
      <c r="F155" s="24"/>
    </row>
    <row r="156" spans="2:6" x14ac:dyDescent="0.25">
      <c r="B156" s="1"/>
      <c r="C156" s="1"/>
      <c r="D156" s="1"/>
      <c r="E156" s="1"/>
      <c r="F156" s="24"/>
    </row>
    <row r="157" spans="2:6" x14ac:dyDescent="0.25">
      <c r="B157" s="1" t="s">
        <v>275</v>
      </c>
      <c r="C157" s="1" t="s">
        <v>26</v>
      </c>
      <c r="D157" s="1">
        <v>82</v>
      </c>
      <c r="E157" s="1">
        <v>123</v>
      </c>
      <c r="F157" s="24">
        <f t="shared" si="3"/>
        <v>3.5363118854579958</v>
      </c>
    </row>
    <row r="158" spans="2:6" x14ac:dyDescent="0.25">
      <c r="B158" s="1" t="s">
        <v>329</v>
      </c>
      <c r="C158" s="1" t="s">
        <v>26</v>
      </c>
      <c r="D158" s="1">
        <v>935</v>
      </c>
      <c r="E158" s="1">
        <v>1122</v>
      </c>
      <c r="F158" s="24">
        <f t="shared" si="3"/>
        <v>32.258064516129032</v>
      </c>
    </row>
    <row r="159" spans="2:6" x14ac:dyDescent="0.25">
      <c r="B159" s="1" t="s">
        <v>330</v>
      </c>
      <c r="C159" s="1" t="s">
        <v>261</v>
      </c>
      <c r="D159" s="1">
        <v>68</v>
      </c>
      <c r="E159" s="1">
        <v>88.4</v>
      </c>
      <c r="F159" s="24">
        <f t="shared" si="3"/>
        <v>2.5415444770283484</v>
      </c>
    </row>
    <row r="160" spans="2:6" x14ac:dyDescent="0.25">
      <c r="B160" s="1" t="s">
        <v>319</v>
      </c>
      <c r="C160" s="1" t="s">
        <v>261</v>
      </c>
      <c r="D160" s="1">
        <v>65</v>
      </c>
      <c r="E160" s="1">
        <v>84.5</v>
      </c>
      <c r="F160" s="24">
        <f t="shared" si="3"/>
        <v>2.4294175148065089</v>
      </c>
    </row>
    <row r="161" spans="2:6" x14ac:dyDescent="0.25">
      <c r="B161" s="1" t="s">
        <v>336</v>
      </c>
      <c r="C161" s="1" t="s">
        <v>261</v>
      </c>
      <c r="D161" s="1">
        <v>5</v>
      </c>
      <c r="E161" s="1">
        <v>1</v>
      </c>
      <c r="F161" s="24">
        <f t="shared" si="3"/>
        <v>2.8750503133804839E-2</v>
      </c>
    </row>
    <row r="162" spans="2:6" x14ac:dyDescent="0.25">
      <c r="B162" s="1" t="s">
        <v>320</v>
      </c>
      <c r="C162" s="1" t="s">
        <v>261</v>
      </c>
      <c r="D162" s="1">
        <v>50</v>
      </c>
      <c r="E162" s="1">
        <v>95</v>
      </c>
      <c r="F162" s="24">
        <f t="shared" si="3"/>
        <v>2.7312977977114596</v>
      </c>
    </row>
    <row r="163" spans="2:6" x14ac:dyDescent="0.25">
      <c r="B163" s="1" t="s">
        <v>325</v>
      </c>
      <c r="C163" s="1" t="s">
        <v>261</v>
      </c>
      <c r="D163" s="1">
        <v>220</v>
      </c>
      <c r="E163" s="1">
        <v>220</v>
      </c>
      <c r="F163" s="24">
        <f t="shared" si="3"/>
        <v>6.3251106894370643</v>
      </c>
    </row>
    <row r="164" spans="2:6" x14ac:dyDescent="0.25">
      <c r="B164" s="1" t="s">
        <v>337</v>
      </c>
      <c r="C164" s="1" t="s">
        <v>261</v>
      </c>
      <c r="D164" s="1">
        <v>800</v>
      </c>
      <c r="E164" s="1">
        <v>960</v>
      </c>
      <c r="F164" s="24">
        <f t="shared" si="3"/>
        <v>27.600483008452645</v>
      </c>
    </row>
    <row r="165" spans="2:6" x14ac:dyDescent="0.25">
      <c r="B165" s="10" t="s">
        <v>20</v>
      </c>
      <c r="C165" s="1"/>
      <c r="D165" s="1"/>
      <c r="E165" s="4">
        <f>SUM(E150:E164)</f>
        <v>3344.5</v>
      </c>
      <c r="F165" s="22">
        <f>SUM(F150:F164)</f>
        <v>96.156057731010293</v>
      </c>
    </row>
    <row r="166" spans="2:6" x14ac:dyDescent="0.25">
      <c r="B166" s="4" t="s">
        <v>22</v>
      </c>
      <c r="C166" s="6"/>
      <c r="D166" s="6"/>
      <c r="E166" s="6"/>
      <c r="F166" s="23">
        <f>F148+F165</f>
        <v>113.14605773101029</v>
      </c>
    </row>
    <row r="167" spans="2:6" x14ac:dyDescent="0.25">
      <c r="B167" s="7"/>
      <c r="C167" s="7"/>
      <c r="D167" s="7"/>
      <c r="E167" s="7"/>
      <c r="F167" s="28"/>
    </row>
    <row r="168" spans="2:6" x14ac:dyDescent="0.25">
      <c r="B168" s="13"/>
      <c r="C168" s="13"/>
      <c r="D168" s="13"/>
      <c r="E168" s="13"/>
      <c r="F168" s="33"/>
    </row>
    <row r="169" spans="2:6" x14ac:dyDescent="0.25">
      <c r="B169" s="13"/>
      <c r="C169" s="13"/>
      <c r="D169" s="13"/>
      <c r="E169" s="13"/>
      <c r="F169" s="33"/>
    </row>
    <row r="170" spans="2:6" x14ac:dyDescent="0.25">
      <c r="B170" s="39" t="s">
        <v>23</v>
      </c>
      <c r="C170" s="38"/>
      <c r="D170" s="13"/>
      <c r="E170" s="39" t="s">
        <v>24</v>
      </c>
      <c r="F170" s="38"/>
    </row>
    <row r="171" spans="2:6" x14ac:dyDescent="0.25">
      <c r="B171" s="13"/>
      <c r="C171" s="13"/>
      <c r="D171" s="13"/>
      <c r="E171" s="13"/>
      <c r="F171" s="33"/>
    </row>
  </sheetData>
  <mergeCells count="20">
    <mergeCell ref="B2:F2"/>
    <mergeCell ref="B3:F3"/>
    <mergeCell ref="B38:C38"/>
    <mergeCell ref="E38:F38"/>
    <mergeCell ref="C5:D5"/>
    <mergeCell ref="B41:F41"/>
    <mergeCell ref="B42:F42"/>
    <mergeCell ref="C44:D44"/>
    <mergeCell ref="B81:C81"/>
    <mergeCell ref="E81:F81"/>
    <mergeCell ref="B85:F85"/>
    <mergeCell ref="B86:F86"/>
    <mergeCell ref="C88:D88"/>
    <mergeCell ref="B123:C123"/>
    <mergeCell ref="E123:F123"/>
    <mergeCell ref="B127:F127"/>
    <mergeCell ref="B128:F128"/>
    <mergeCell ref="C130:D130"/>
    <mergeCell ref="B170:C170"/>
    <mergeCell ref="E170:F170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07"/>
  <sheetViews>
    <sheetView topLeftCell="A1197" workbookViewId="0">
      <selection activeCell="G195" sqref="G195"/>
    </sheetView>
  </sheetViews>
  <sheetFormatPr defaultRowHeight="15" x14ac:dyDescent="0.25"/>
  <cols>
    <col min="2" max="2" width="38" customWidth="1"/>
    <col min="6" max="6" width="11.42578125" bestFit="1" customWidth="1"/>
  </cols>
  <sheetData>
    <row r="1" spans="2:6" ht="31.15" customHeight="1" x14ac:dyDescent="0.25">
      <c r="B1" s="37" t="s">
        <v>110</v>
      </c>
      <c r="C1" s="37"/>
      <c r="D1" s="37"/>
      <c r="E1" s="37"/>
      <c r="F1" s="37"/>
    </row>
    <row r="2" spans="2:6" ht="33" customHeight="1" x14ac:dyDescent="0.25">
      <c r="B2" s="37" t="s">
        <v>1</v>
      </c>
      <c r="C2" s="37"/>
      <c r="D2" s="37"/>
      <c r="E2" s="37"/>
      <c r="F2" s="37"/>
    </row>
    <row r="3" spans="2:6" x14ac:dyDescent="0.25">
      <c r="B3" s="14" t="s">
        <v>0</v>
      </c>
      <c r="C3" s="14"/>
      <c r="D3" s="14"/>
      <c r="E3" s="14"/>
      <c r="F3" s="14"/>
    </row>
    <row r="4" spans="2:6" x14ac:dyDescent="0.25">
      <c r="B4" s="12"/>
      <c r="C4" s="38" t="s">
        <v>25</v>
      </c>
      <c r="D4" s="38"/>
      <c r="E4" s="12">
        <v>581.29999999999995</v>
      </c>
      <c r="F4" s="12" t="s">
        <v>26</v>
      </c>
    </row>
    <row r="6" spans="2:6" ht="60" x14ac:dyDescent="0.25">
      <c r="B6" s="1" t="s">
        <v>2</v>
      </c>
      <c r="C6" s="1" t="s">
        <v>4</v>
      </c>
      <c r="D6" s="1" t="s">
        <v>3</v>
      </c>
      <c r="E6" s="1" t="s">
        <v>447</v>
      </c>
      <c r="F6" s="1" t="s">
        <v>5</v>
      </c>
    </row>
    <row r="7" spans="2:6" x14ac:dyDescent="0.25">
      <c r="B7" s="1"/>
      <c r="C7" s="1"/>
      <c r="D7" s="1"/>
      <c r="E7" s="1"/>
      <c r="F7" s="1"/>
    </row>
    <row r="8" spans="2:6" x14ac:dyDescent="0.25">
      <c r="B8" s="3" t="s">
        <v>6</v>
      </c>
      <c r="C8" s="1"/>
      <c r="D8" s="1"/>
      <c r="E8" s="1"/>
      <c r="F8" s="1"/>
    </row>
    <row r="9" spans="2:6" x14ac:dyDescent="0.25">
      <c r="B9" s="5" t="s">
        <v>7</v>
      </c>
      <c r="C9" s="1"/>
      <c r="D9" s="1"/>
      <c r="E9" s="1"/>
      <c r="F9" s="5">
        <v>2.0099999999999998</v>
      </c>
    </row>
    <row r="10" spans="2:6" x14ac:dyDescent="0.25">
      <c r="B10" s="5" t="s">
        <v>8</v>
      </c>
      <c r="C10" s="1"/>
      <c r="D10" s="1"/>
      <c r="E10" s="1"/>
      <c r="F10" s="5">
        <v>5.34</v>
      </c>
    </row>
    <row r="11" spans="2:6" ht="27.6" customHeight="1" x14ac:dyDescent="0.25">
      <c r="B11" s="5" t="s">
        <v>11</v>
      </c>
      <c r="C11" s="1"/>
      <c r="D11" s="1"/>
      <c r="E11" s="1"/>
      <c r="F11" s="5">
        <v>0.55000000000000004</v>
      </c>
    </row>
    <row r="12" spans="2:6" ht="22.9" customHeight="1" x14ac:dyDescent="0.25">
      <c r="B12" s="5" t="s">
        <v>12</v>
      </c>
      <c r="C12" s="1"/>
      <c r="D12" s="1"/>
      <c r="E12" s="1"/>
      <c r="F12" s="5">
        <v>0.53</v>
      </c>
    </row>
    <row r="13" spans="2:6" ht="23.45" customHeight="1" x14ac:dyDescent="0.25">
      <c r="B13" s="5" t="s">
        <v>13</v>
      </c>
      <c r="C13" s="1"/>
      <c r="D13" s="1"/>
      <c r="E13" s="1"/>
      <c r="F13" s="5">
        <v>0.19</v>
      </c>
    </row>
    <row r="14" spans="2:6" ht="24.6" customHeight="1" x14ac:dyDescent="0.25">
      <c r="B14" s="5" t="s">
        <v>14</v>
      </c>
      <c r="C14" s="1"/>
      <c r="D14" s="1"/>
      <c r="E14" s="1"/>
      <c r="F14" s="5">
        <v>1.25</v>
      </c>
    </row>
    <row r="15" spans="2:6" ht="27.6" customHeight="1" x14ac:dyDescent="0.25">
      <c r="B15" s="5" t="s">
        <v>9</v>
      </c>
      <c r="C15" s="1"/>
      <c r="D15" s="1"/>
      <c r="E15" s="1"/>
      <c r="F15" s="5">
        <v>0.26</v>
      </c>
    </row>
    <row r="16" spans="2:6" ht="24.75" x14ac:dyDescent="0.25">
      <c r="B16" s="5" t="s">
        <v>15</v>
      </c>
      <c r="C16" s="1"/>
      <c r="D16" s="1"/>
      <c r="E16" s="1"/>
      <c r="F16" s="5">
        <v>0.27</v>
      </c>
    </row>
    <row r="17" spans="2:6" ht="24.75" x14ac:dyDescent="0.25">
      <c r="B17" s="5" t="s">
        <v>16</v>
      </c>
      <c r="C17" s="1"/>
      <c r="D17" s="1"/>
      <c r="E17" s="1"/>
      <c r="F17" s="5">
        <v>0.28999999999999998</v>
      </c>
    </row>
    <row r="18" spans="2:6" x14ac:dyDescent="0.25">
      <c r="B18" s="5" t="s">
        <v>17</v>
      </c>
      <c r="C18" s="1"/>
      <c r="D18" s="1"/>
      <c r="E18" s="1"/>
      <c r="F18" s="5">
        <v>0.32</v>
      </c>
    </row>
    <row r="19" spans="2:6" x14ac:dyDescent="0.25">
      <c r="B19" s="5" t="s">
        <v>18</v>
      </c>
      <c r="C19" s="1"/>
      <c r="D19" s="1"/>
      <c r="E19" s="1"/>
      <c r="F19" s="5">
        <v>1.97</v>
      </c>
    </row>
    <row r="20" spans="2:6" x14ac:dyDescent="0.25">
      <c r="B20" s="5" t="s">
        <v>19</v>
      </c>
      <c r="C20" s="1"/>
      <c r="D20" s="1"/>
      <c r="E20" s="1"/>
      <c r="F20" s="5">
        <v>3.95</v>
      </c>
    </row>
    <row r="21" spans="2:6" x14ac:dyDescent="0.25">
      <c r="B21" s="10" t="s">
        <v>20</v>
      </c>
      <c r="C21" s="1"/>
      <c r="D21" s="1"/>
      <c r="E21" s="1"/>
      <c r="F21" s="4">
        <f>SUM(F9:F20)</f>
        <v>16.93</v>
      </c>
    </row>
    <row r="22" spans="2:6" x14ac:dyDescent="0.25">
      <c r="B22" s="3" t="s">
        <v>21</v>
      </c>
      <c r="C22" s="1"/>
      <c r="D22" s="1"/>
      <c r="E22" s="1"/>
      <c r="F22" s="1"/>
    </row>
    <row r="23" spans="2:6" x14ac:dyDescent="0.25">
      <c r="B23" s="1" t="s">
        <v>327</v>
      </c>
      <c r="C23" s="1" t="s">
        <v>261</v>
      </c>
      <c r="D23" s="1">
        <v>153</v>
      </c>
      <c r="E23" s="1">
        <v>153</v>
      </c>
      <c r="F23" s="24">
        <f>E23/581.3*1000/12</f>
        <v>21.93359710992603</v>
      </c>
    </row>
    <row r="24" spans="2:6" x14ac:dyDescent="0.25">
      <c r="B24" s="1" t="s">
        <v>326</v>
      </c>
      <c r="C24" s="1" t="s">
        <v>26</v>
      </c>
      <c r="D24" s="1">
        <v>20</v>
      </c>
      <c r="E24" s="1">
        <v>30</v>
      </c>
      <c r="F24" s="24">
        <f t="shared" ref="F24:F35" si="0">E24/581.3*1000/12</f>
        <v>4.3007053156717712</v>
      </c>
    </row>
    <row r="25" spans="2:6" x14ac:dyDescent="0.25">
      <c r="B25" s="1" t="s">
        <v>275</v>
      </c>
      <c r="C25" s="1" t="s">
        <v>26</v>
      </c>
      <c r="D25" s="1">
        <v>85.3</v>
      </c>
      <c r="E25" s="1">
        <v>128</v>
      </c>
      <c r="F25" s="24">
        <f t="shared" si="0"/>
        <v>18.349676013532889</v>
      </c>
    </row>
    <row r="26" spans="2:6" x14ac:dyDescent="0.25">
      <c r="B26" s="1" t="s">
        <v>318</v>
      </c>
      <c r="C26" s="1" t="s">
        <v>26</v>
      </c>
      <c r="D26" s="1">
        <v>714</v>
      </c>
      <c r="E26" s="1">
        <v>571.20000000000005</v>
      </c>
      <c r="F26" s="24">
        <f t="shared" si="0"/>
        <v>81.885429210390512</v>
      </c>
    </row>
    <row r="27" spans="2:6" x14ac:dyDescent="0.25">
      <c r="B27" s="1" t="s">
        <v>390</v>
      </c>
      <c r="C27" s="1" t="s">
        <v>261</v>
      </c>
      <c r="D27" s="1">
        <v>30</v>
      </c>
      <c r="E27" s="1">
        <v>39</v>
      </c>
      <c r="F27" s="24">
        <f t="shared" si="0"/>
        <v>5.5909169103733012</v>
      </c>
    </row>
    <row r="28" spans="2:6" x14ac:dyDescent="0.25">
      <c r="B28" s="1" t="s">
        <v>343</v>
      </c>
      <c r="C28" s="1" t="s">
        <v>256</v>
      </c>
      <c r="D28" s="1">
        <v>1</v>
      </c>
      <c r="E28" s="1">
        <v>50</v>
      </c>
      <c r="F28" s="24">
        <f t="shared" si="0"/>
        <v>7.1678421927862841</v>
      </c>
    </row>
    <row r="29" spans="2:6" x14ac:dyDescent="0.25">
      <c r="B29" s="1" t="s">
        <v>342</v>
      </c>
      <c r="C29" s="1" t="s">
        <v>265</v>
      </c>
      <c r="D29" s="1">
        <v>2</v>
      </c>
      <c r="E29" s="1">
        <v>30</v>
      </c>
      <c r="F29" s="24">
        <f t="shared" si="0"/>
        <v>4.3007053156717712</v>
      </c>
    </row>
    <row r="30" spans="2:6" x14ac:dyDescent="0.25">
      <c r="B30" s="1" t="s">
        <v>320</v>
      </c>
      <c r="C30" s="1" t="s">
        <v>261</v>
      </c>
      <c r="D30" s="1">
        <v>30</v>
      </c>
      <c r="E30" s="1">
        <v>57</v>
      </c>
      <c r="F30" s="24">
        <f t="shared" si="0"/>
        <v>8.1713400997763639</v>
      </c>
    </row>
    <row r="31" spans="2:6" x14ac:dyDescent="0.25">
      <c r="B31" s="1" t="s">
        <v>325</v>
      </c>
      <c r="C31" s="1" t="s">
        <v>261</v>
      </c>
      <c r="D31" s="1">
        <v>20</v>
      </c>
      <c r="E31" s="1">
        <v>38</v>
      </c>
      <c r="F31" s="24">
        <f t="shared" si="0"/>
        <v>5.4475600665175756</v>
      </c>
    </row>
    <row r="32" spans="2:6" x14ac:dyDescent="0.25">
      <c r="B32" s="1" t="s">
        <v>322</v>
      </c>
      <c r="C32" s="1" t="s">
        <v>261</v>
      </c>
      <c r="D32" s="1">
        <v>120</v>
      </c>
      <c r="E32" s="1">
        <v>144</v>
      </c>
      <c r="F32" s="24">
        <f t="shared" si="0"/>
        <v>20.643385515224498</v>
      </c>
    </row>
    <row r="33" spans="2:6" x14ac:dyDescent="0.25">
      <c r="B33" s="1" t="s">
        <v>323</v>
      </c>
      <c r="C33" s="1" t="s">
        <v>261</v>
      </c>
      <c r="D33" s="1">
        <v>160</v>
      </c>
      <c r="E33" s="1">
        <v>160</v>
      </c>
      <c r="F33" s="24">
        <f t="shared" si="0"/>
        <v>22.937095016916107</v>
      </c>
    </row>
    <row r="34" spans="2:6" x14ac:dyDescent="0.25">
      <c r="B34" s="1" t="s">
        <v>317</v>
      </c>
      <c r="C34" s="1" t="s">
        <v>256</v>
      </c>
      <c r="D34" s="1">
        <v>1</v>
      </c>
      <c r="E34" s="1">
        <v>30</v>
      </c>
      <c r="F34" s="24">
        <f t="shared" si="0"/>
        <v>4.3007053156717712</v>
      </c>
    </row>
    <row r="35" spans="2:6" x14ac:dyDescent="0.25">
      <c r="B35" s="1" t="s">
        <v>319</v>
      </c>
      <c r="C35" s="1" t="s">
        <v>261</v>
      </c>
      <c r="D35" s="1">
        <v>15</v>
      </c>
      <c r="E35" s="1">
        <v>18</v>
      </c>
      <c r="F35" s="24">
        <f t="shared" si="0"/>
        <v>2.5804231894030623</v>
      </c>
    </row>
    <row r="36" spans="2:6" x14ac:dyDescent="0.25">
      <c r="B36" s="10" t="s">
        <v>20</v>
      </c>
      <c r="C36" s="1"/>
      <c r="D36" s="1"/>
      <c r="E36" s="4">
        <f>SUM(E23:E35)</f>
        <v>1448.2</v>
      </c>
      <c r="F36" s="22">
        <f>SUM(F23:F35)</f>
        <v>207.60938127186193</v>
      </c>
    </row>
    <row r="37" spans="2:6" x14ac:dyDescent="0.25">
      <c r="B37" s="4" t="s">
        <v>22</v>
      </c>
      <c r="C37" s="6"/>
      <c r="D37" s="6"/>
      <c r="E37" s="6"/>
      <c r="F37" s="23">
        <f>F21+F36</f>
        <v>224.53938127186194</v>
      </c>
    </row>
    <row r="38" spans="2:6" x14ac:dyDescent="0.25">
      <c r="B38" s="7"/>
      <c r="C38" s="7"/>
      <c r="D38" s="7"/>
      <c r="E38" s="7"/>
      <c r="F38" s="7"/>
    </row>
    <row r="39" spans="2:6" x14ac:dyDescent="0.25">
      <c r="B39" s="13"/>
      <c r="C39" s="13"/>
      <c r="D39" s="13"/>
      <c r="E39" s="13"/>
      <c r="F39" s="13"/>
    </row>
    <row r="40" spans="2:6" x14ac:dyDescent="0.25">
      <c r="B40" s="13"/>
      <c r="C40" s="13"/>
      <c r="D40" s="13"/>
      <c r="E40" s="13"/>
      <c r="F40" s="13"/>
    </row>
    <row r="41" spans="2:6" x14ac:dyDescent="0.25">
      <c r="B41" s="39" t="s">
        <v>23</v>
      </c>
      <c r="C41" s="38"/>
      <c r="D41" s="38"/>
      <c r="E41" s="39" t="s">
        <v>24</v>
      </c>
      <c r="F41" s="38"/>
    </row>
    <row r="43" spans="2:6" ht="34.9" customHeight="1" x14ac:dyDescent="0.25">
      <c r="B43" s="37" t="s">
        <v>111</v>
      </c>
      <c r="C43" s="37"/>
      <c r="D43" s="37"/>
      <c r="E43" s="37"/>
      <c r="F43" s="37"/>
    </row>
    <row r="44" spans="2:6" ht="30.6" customHeight="1" x14ac:dyDescent="0.25">
      <c r="B44" s="37" t="s">
        <v>1</v>
      </c>
      <c r="C44" s="37"/>
      <c r="D44" s="37"/>
      <c r="E44" s="37"/>
      <c r="F44" s="37"/>
    </row>
    <row r="45" spans="2:6" x14ac:dyDescent="0.25">
      <c r="B45" s="14" t="s">
        <v>0</v>
      </c>
      <c r="C45" s="14"/>
      <c r="D45" s="14"/>
      <c r="E45" s="14"/>
      <c r="F45" s="14"/>
    </row>
    <row r="46" spans="2:6" x14ac:dyDescent="0.25">
      <c r="B46" s="12"/>
      <c r="C46" s="38" t="s">
        <v>25</v>
      </c>
      <c r="D46" s="38"/>
      <c r="E46" s="12">
        <v>500.4</v>
      </c>
      <c r="F46" s="12" t="s">
        <v>26</v>
      </c>
    </row>
    <row r="48" spans="2:6" ht="60" x14ac:dyDescent="0.25">
      <c r="B48" s="1" t="s">
        <v>2</v>
      </c>
      <c r="C48" s="1" t="s">
        <v>4</v>
      </c>
      <c r="D48" s="1" t="s">
        <v>3</v>
      </c>
      <c r="E48" s="1" t="s">
        <v>447</v>
      </c>
      <c r="F48" s="1" t="s">
        <v>5</v>
      </c>
    </row>
    <row r="49" spans="2:6" x14ac:dyDescent="0.25">
      <c r="B49" s="1"/>
      <c r="C49" s="1"/>
      <c r="D49" s="1"/>
      <c r="E49" s="1"/>
      <c r="F49" s="1"/>
    </row>
    <row r="50" spans="2:6" x14ac:dyDescent="0.25">
      <c r="B50" s="3" t="s">
        <v>6</v>
      </c>
      <c r="C50" s="1"/>
      <c r="D50" s="1"/>
      <c r="E50" s="1"/>
      <c r="F50" s="1"/>
    </row>
    <row r="51" spans="2:6" x14ac:dyDescent="0.25">
      <c r="B51" s="5" t="s">
        <v>7</v>
      </c>
      <c r="C51" s="1"/>
      <c r="D51" s="1"/>
      <c r="E51" s="1"/>
      <c r="F51" s="5">
        <v>2.0099999999999998</v>
      </c>
    </row>
    <row r="52" spans="2:6" x14ac:dyDescent="0.25">
      <c r="B52" s="5" t="s">
        <v>8</v>
      </c>
      <c r="C52" s="1"/>
      <c r="D52" s="1"/>
      <c r="E52" s="1"/>
      <c r="F52" s="5">
        <v>5.34</v>
      </c>
    </row>
    <row r="53" spans="2:6" ht="24.75" x14ac:dyDescent="0.25">
      <c r="B53" s="5" t="s">
        <v>11</v>
      </c>
      <c r="C53" s="1"/>
      <c r="D53" s="1"/>
      <c r="E53" s="1"/>
      <c r="F53" s="5">
        <v>0.55000000000000004</v>
      </c>
    </row>
    <row r="54" spans="2:6" ht="24.75" x14ac:dyDescent="0.25">
      <c r="B54" s="5" t="s">
        <v>12</v>
      </c>
      <c r="C54" s="1"/>
      <c r="D54" s="1"/>
      <c r="E54" s="1"/>
      <c r="F54" s="5">
        <v>0.53</v>
      </c>
    </row>
    <row r="55" spans="2:6" ht="24.75" x14ac:dyDescent="0.25">
      <c r="B55" s="5" t="s">
        <v>13</v>
      </c>
      <c r="C55" s="1"/>
      <c r="D55" s="1"/>
      <c r="E55" s="1"/>
      <c r="F55" s="5">
        <v>0.19</v>
      </c>
    </row>
    <row r="56" spans="2:6" ht="24.75" x14ac:dyDescent="0.25">
      <c r="B56" s="5" t="s">
        <v>14</v>
      </c>
      <c r="C56" s="1"/>
      <c r="D56" s="1"/>
      <c r="E56" s="1"/>
      <c r="F56" s="5">
        <v>1.25</v>
      </c>
    </row>
    <row r="57" spans="2:6" ht="24.75" x14ac:dyDescent="0.25">
      <c r="B57" s="5" t="s">
        <v>9</v>
      </c>
      <c r="C57" s="1"/>
      <c r="D57" s="1"/>
      <c r="E57" s="1"/>
      <c r="F57" s="5">
        <v>0.26</v>
      </c>
    </row>
    <row r="58" spans="2:6" ht="24.75" x14ac:dyDescent="0.25">
      <c r="B58" s="5" t="s">
        <v>15</v>
      </c>
      <c r="C58" s="1"/>
      <c r="D58" s="1"/>
      <c r="E58" s="1"/>
      <c r="F58" s="5">
        <v>0.27</v>
      </c>
    </row>
    <row r="59" spans="2:6" ht="24.75" x14ac:dyDescent="0.25">
      <c r="B59" s="5" t="s">
        <v>16</v>
      </c>
      <c r="C59" s="1"/>
      <c r="D59" s="1"/>
      <c r="E59" s="1"/>
      <c r="F59" s="5">
        <v>0.28999999999999998</v>
      </c>
    </row>
    <row r="60" spans="2:6" x14ac:dyDescent="0.25">
      <c r="B60" s="5" t="s">
        <v>17</v>
      </c>
      <c r="C60" s="1"/>
      <c r="D60" s="1"/>
      <c r="E60" s="1"/>
      <c r="F60" s="5">
        <v>0.32</v>
      </c>
    </row>
    <row r="61" spans="2:6" x14ac:dyDescent="0.25">
      <c r="B61" s="5" t="s">
        <v>18</v>
      </c>
      <c r="C61" s="1"/>
      <c r="D61" s="1"/>
      <c r="E61" s="1"/>
      <c r="F61" s="5">
        <v>1.97</v>
      </c>
    </row>
    <row r="62" spans="2:6" x14ac:dyDescent="0.25">
      <c r="B62" s="5" t="s">
        <v>19</v>
      </c>
      <c r="C62" s="1"/>
      <c r="D62" s="1"/>
      <c r="E62" s="1"/>
      <c r="F62" s="5">
        <v>3.95</v>
      </c>
    </row>
    <row r="63" spans="2:6" x14ac:dyDescent="0.25">
      <c r="B63" s="10" t="s">
        <v>20</v>
      </c>
      <c r="C63" s="1"/>
      <c r="D63" s="1"/>
      <c r="E63" s="1"/>
      <c r="F63" s="4">
        <f>SUM(F51:F62)</f>
        <v>16.93</v>
      </c>
    </row>
    <row r="64" spans="2:6" x14ac:dyDescent="0.25">
      <c r="B64" s="3" t="s">
        <v>21</v>
      </c>
      <c r="C64" s="1"/>
      <c r="D64" s="1"/>
      <c r="E64" s="1"/>
      <c r="F64" s="1"/>
    </row>
    <row r="65" spans="2:6" x14ac:dyDescent="0.25">
      <c r="B65" s="1" t="s">
        <v>317</v>
      </c>
      <c r="C65" s="1" t="s">
        <v>256</v>
      </c>
      <c r="D65" s="1">
        <v>2</v>
      </c>
      <c r="E65" s="1">
        <v>90</v>
      </c>
      <c r="F65" s="24">
        <f>E65/500.4*1000/12</f>
        <v>14.988009592326142</v>
      </c>
    </row>
    <row r="66" spans="2:6" x14ac:dyDescent="0.25">
      <c r="B66" s="1" t="s">
        <v>327</v>
      </c>
      <c r="C66" s="1" t="s">
        <v>261</v>
      </c>
      <c r="D66" s="1">
        <v>150</v>
      </c>
      <c r="E66" s="1">
        <v>150</v>
      </c>
      <c r="F66" s="24">
        <f t="shared" ref="F66:F77" si="1">E66/500.4*1000/12</f>
        <v>24.980015987210233</v>
      </c>
    </row>
    <row r="67" spans="2:6" x14ac:dyDescent="0.25">
      <c r="B67" s="1" t="s">
        <v>334</v>
      </c>
      <c r="C67" s="1" t="s">
        <v>265</v>
      </c>
      <c r="D67" s="1">
        <v>2</v>
      </c>
      <c r="E67" s="1">
        <v>20</v>
      </c>
      <c r="F67" s="24">
        <f t="shared" si="1"/>
        <v>3.3306687982946976</v>
      </c>
    </row>
    <row r="68" spans="2:6" x14ac:dyDescent="0.25">
      <c r="B68" s="1" t="s">
        <v>329</v>
      </c>
      <c r="C68" s="1" t="s">
        <v>26</v>
      </c>
      <c r="D68" s="1">
        <v>40</v>
      </c>
      <c r="E68" s="1">
        <v>44</v>
      </c>
      <c r="F68" s="24">
        <f t="shared" si="1"/>
        <v>7.3274713562483349</v>
      </c>
    </row>
    <row r="69" spans="2:6" x14ac:dyDescent="0.25">
      <c r="B69" s="1" t="s">
        <v>390</v>
      </c>
      <c r="C69" s="1" t="s">
        <v>261</v>
      </c>
      <c r="D69" s="1">
        <v>38</v>
      </c>
      <c r="E69" s="1">
        <v>49.4</v>
      </c>
      <c r="F69" s="24">
        <f t="shared" si="1"/>
        <v>8.2267519317879039</v>
      </c>
    </row>
    <row r="70" spans="2:6" x14ac:dyDescent="0.25">
      <c r="B70" s="1" t="s">
        <v>319</v>
      </c>
      <c r="C70" s="1" t="s">
        <v>261</v>
      </c>
      <c r="D70" s="1">
        <v>15</v>
      </c>
      <c r="E70" s="1">
        <v>19.5</v>
      </c>
      <c r="F70" s="24">
        <f t="shared" si="1"/>
        <v>3.2474020783373301</v>
      </c>
    </row>
    <row r="71" spans="2:6" x14ac:dyDescent="0.25">
      <c r="B71" s="1" t="s">
        <v>320</v>
      </c>
      <c r="C71" s="1" t="s">
        <v>261</v>
      </c>
      <c r="D71" s="1">
        <v>30</v>
      </c>
      <c r="E71" s="1">
        <v>57</v>
      </c>
      <c r="F71" s="24">
        <f t="shared" si="1"/>
        <v>9.492406075139888</v>
      </c>
    </row>
    <row r="72" spans="2:6" x14ac:dyDescent="0.25">
      <c r="B72" s="1" t="s">
        <v>325</v>
      </c>
      <c r="C72" s="1" t="s">
        <v>261</v>
      </c>
      <c r="D72" s="1">
        <v>20</v>
      </c>
      <c r="E72" s="1">
        <v>38</v>
      </c>
      <c r="F72" s="24">
        <f t="shared" si="1"/>
        <v>6.3282707167599268</v>
      </c>
    </row>
    <row r="73" spans="2:6" x14ac:dyDescent="0.25">
      <c r="B73" s="1" t="s">
        <v>343</v>
      </c>
      <c r="C73" s="1" t="s">
        <v>256</v>
      </c>
      <c r="D73" s="1">
        <v>1</v>
      </c>
      <c r="E73" s="1">
        <v>50</v>
      </c>
      <c r="F73" s="24">
        <f t="shared" si="1"/>
        <v>8.3266719957367439</v>
      </c>
    </row>
    <row r="74" spans="2:6" x14ac:dyDescent="0.25">
      <c r="B74" s="1" t="s">
        <v>420</v>
      </c>
      <c r="C74" s="1" t="s">
        <v>265</v>
      </c>
      <c r="D74" s="1">
        <v>2</v>
      </c>
      <c r="E74" s="1">
        <v>30</v>
      </c>
      <c r="F74" s="24">
        <f t="shared" si="1"/>
        <v>4.9960031974420467</v>
      </c>
    </row>
    <row r="75" spans="2:6" x14ac:dyDescent="0.25">
      <c r="B75" s="1" t="s">
        <v>275</v>
      </c>
      <c r="C75" s="1" t="s">
        <v>26</v>
      </c>
      <c r="D75" s="1">
        <v>82</v>
      </c>
      <c r="E75" s="1">
        <v>123</v>
      </c>
      <c r="F75" s="24">
        <f t="shared" si="1"/>
        <v>20.48361310951239</v>
      </c>
    </row>
    <row r="76" spans="2:6" x14ac:dyDescent="0.25">
      <c r="B76" s="1" t="s">
        <v>389</v>
      </c>
      <c r="C76" s="1" t="s">
        <v>421</v>
      </c>
      <c r="D76" s="1">
        <v>120</v>
      </c>
      <c r="E76" s="1">
        <v>144</v>
      </c>
      <c r="F76" s="24">
        <f t="shared" si="1"/>
        <v>23.980815347721819</v>
      </c>
    </row>
    <row r="77" spans="2:6" x14ac:dyDescent="0.25">
      <c r="B77" s="1" t="s">
        <v>375</v>
      </c>
      <c r="C77" s="1" t="s">
        <v>261</v>
      </c>
      <c r="D77" s="1">
        <v>160</v>
      </c>
      <c r="E77" s="1">
        <v>160</v>
      </c>
      <c r="F77" s="24">
        <f t="shared" si="1"/>
        <v>26.645350386357581</v>
      </c>
    </row>
    <row r="78" spans="2:6" x14ac:dyDescent="0.25">
      <c r="B78" s="10" t="s">
        <v>20</v>
      </c>
      <c r="C78" s="1"/>
      <c r="D78" s="1"/>
      <c r="E78" s="4">
        <f>SUM(E65:E77)</f>
        <v>974.9</v>
      </c>
      <c r="F78" s="22">
        <f>SUM(F65:F77)</f>
        <v>162.35345057287506</v>
      </c>
    </row>
    <row r="79" spans="2:6" x14ac:dyDescent="0.25">
      <c r="B79" s="4" t="s">
        <v>22</v>
      </c>
      <c r="C79" s="6"/>
      <c r="D79" s="6"/>
      <c r="E79" s="6"/>
      <c r="F79" s="23">
        <f>F63+F78</f>
        <v>179.28345057287507</v>
      </c>
    </row>
    <row r="80" spans="2:6" x14ac:dyDescent="0.25">
      <c r="B80" s="7"/>
      <c r="C80" s="7"/>
      <c r="D80" s="7"/>
      <c r="E80" s="7"/>
      <c r="F80" s="7"/>
    </row>
    <row r="81" spans="2:6" x14ac:dyDescent="0.25">
      <c r="B81" s="13"/>
      <c r="C81" s="13"/>
      <c r="D81" s="13"/>
      <c r="E81" s="13"/>
      <c r="F81" s="13"/>
    </row>
    <row r="82" spans="2:6" x14ac:dyDescent="0.25">
      <c r="B82" s="13"/>
      <c r="C82" s="13"/>
      <c r="D82" s="13"/>
      <c r="E82" s="13"/>
      <c r="F82" s="13"/>
    </row>
    <row r="83" spans="2:6" x14ac:dyDescent="0.25">
      <c r="B83" s="39" t="s">
        <v>23</v>
      </c>
      <c r="C83" s="38"/>
      <c r="D83" s="38"/>
      <c r="E83" s="39" t="s">
        <v>24</v>
      </c>
      <c r="F83" s="38"/>
    </row>
    <row r="85" spans="2:6" ht="36" customHeight="1" x14ac:dyDescent="0.25">
      <c r="B85" s="37" t="s">
        <v>112</v>
      </c>
      <c r="C85" s="37"/>
      <c r="D85" s="37"/>
      <c r="E85" s="37"/>
      <c r="F85" s="37"/>
    </row>
    <row r="86" spans="2:6" ht="33" customHeight="1" x14ac:dyDescent="0.25">
      <c r="B86" s="37" t="s">
        <v>1</v>
      </c>
      <c r="C86" s="37"/>
      <c r="D86" s="37"/>
      <c r="E86" s="37"/>
      <c r="F86" s="37"/>
    </row>
    <row r="87" spans="2:6" x14ac:dyDescent="0.25">
      <c r="B87" s="14" t="s">
        <v>0</v>
      </c>
      <c r="C87" s="14"/>
      <c r="D87" s="14"/>
      <c r="E87" s="14"/>
      <c r="F87" s="14"/>
    </row>
    <row r="88" spans="2:6" x14ac:dyDescent="0.25">
      <c r="B88" s="12"/>
      <c r="C88" s="38" t="s">
        <v>25</v>
      </c>
      <c r="D88" s="38"/>
      <c r="E88" s="12">
        <v>583.1</v>
      </c>
      <c r="F88" s="12" t="s">
        <v>26</v>
      </c>
    </row>
    <row r="90" spans="2:6" ht="60" x14ac:dyDescent="0.25">
      <c r="B90" s="1" t="s">
        <v>2</v>
      </c>
      <c r="C90" s="1" t="s">
        <v>4</v>
      </c>
      <c r="D90" s="1" t="s">
        <v>3</v>
      </c>
      <c r="E90" s="1" t="s">
        <v>447</v>
      </c>
      <c r="F90" s="1" t="s">
        <v>5</v>
      </c>
    </row>
    <row r="91" spans="2:6" x14ac:dyDescent="0.25">
      <c r="B91" s="1"/>
      <c r="C91" s="1"/>
      <c r="D91" s="1"/>
      <c r="E91" s="1"/>
      <c r="F91" s="1"/>
    </row>
    <row r="92" spans="2:6" x14ac:dyDescent="0.25">
      <c r="B92" s="3" t="s">
        <v>6</v>
      </c>
      <c r="C92" s="1"/>
      <c r="D92" s="1"/>
      <c r="E92" s="1"/>
      <c r="F92" s="1"/>
    </row>
    <row r="93" spans="2:6" x14ac:dyDescent="0.25">
      <c r="B93" s="5" t="s">
        <v>7</v>
      </c>
      <c r="C93" s="1"/>
      <c r="D93" s="1"/>
      <c r="E93" s="1"/>
      <c r="F93" s="5">
        <v>2.0099999999999998</v>
      </c>
    </row>
    <row r="94" spans="2:6" x14ac:dyDescent="0.25">
      <c r="B94" s="5" t="s">
        <v>8</v>
      </c>
      <c r="C94" s="1"/>
      <c r="D94" s="1"/>
      <c r="E94" s="1"/>
      <c r="F94" s="5">
        <v>5.34</v>
      </c>
    </row>
    <row r="95" spans="2:6" ht="24.75" x14ac:dyDescent="0.25">
      <c r="B95" s="5" t="s">
        <v>11</v>
      </c>
      <c r="C95" s="1"/>
      <c r="D95" s="1"/>
      <c r="E95" s="1"/>
      <c r="F95" s="5">
        <v>0.55000000000000004</v>
      </c>
    </row>
    <row r="96" spans="2:6" ht="24.75" x14ac:dyDescent="0.25">
      <c r="B96" s="5" t="s">
        <v>12</v>
      </c>
      <c r="C96" s="1"/>
      <c r="D96" s="1"/>
      <c r="E96" s="1"/>
      <c r="F96" s="5">
        <v>0.53</v>
      </c>
    </row>
    <row r="97" spans="2:6" ht="24.75" x14ac:dyDescent="0.25">
      <c r="B97" s="5" t="s">
        <v>13</v>
      </c>
      <c r="C97" s="1"/>
      <c r="D97" s="1"/>
      <c r="E97" s="1"/>
      <c r="F97" s="5">
        <v>0.19</v>
      </c>
    </row>
    <row r="98" spans="2:6" ht="24.75" x14ac:dyDescent="0.25">
      <c r="B98" s="5" t="s">
        <v>14</v>
      </c>
      <c r="C98" s="1"/>
      <c r="D98" s="1"/>
      <c r="E98" s="1"/>
      <c r="F98" s="5">
        <v>1.25</v>
      </c>
    </row>
    <row r="99" spans="2:6" ht="24.75" x14ac:dyDescent="0.25">
      <c r="B99" s="5" t="s">
        <v>9</v>
      </c>
      <c r="C99" s="1"/>
      <c r="D99" s="1"/>
      <c r="E99" s="1"/>
      <c r="F99" s="5">
        <v>0.26</v>
      </c>
    </row>
    <row r="100" spans="2:6" ht="24.75" x14ac:dyDescent="0.25">
      <c r="B100" s="5" t="s">
        <v>15</v>
      </c>
      <c r="C100" s="1"/>
      <c r="D100" s="1"/>
      <c r="E100" s="1"/>
      <c r="F100" s="5">
        <v>0.27</v>
      </c>
    </row>
    <row r="101" spans="2:6" ht="24.75" x14ac:dyDescent="0.25">
      <c r="B101" s="5" t="s">
        <v>16</v>
      </c>
      <c r="C101" s="1"/>
      <c r="D101" s="1"/>
      <c r="E101" s="1"/>
      <c r="F101" s="5">
        <v>0.28999999999999998</v>
      </c>
    </row>
    <row r="102" spans="2:6" x14ac:dyDescent="0.25">
      <c r="B102" s="5" t="s">
        <v>17</v>
      </c>
      <c r="C102" s="1"/>
      <c r="D102" s="1"/>
      <c r="E102" s="1"/>
      <c r="F102" s="5">
        <v>0.32</v>
      </c>
    </row>
    <row r="103" spans="2:6" x14ac:dyDescent="0.25">
      <c r="B103" s="5" t="s">
        <v>18</v>
      </c>
      <c r="C103" s="1"/>
      <c r="D103" s="1"/>
      <c r="E103" s="1"/>
      <c r="F103" s="5">
        <v>1.97</v>
      </c>
    </row>
    <row r="104" spans="2:6" x14ac:dyDescent="0.25">
      <c r="B104" s="5" t="s">
        <v>19</v>
      </c>
      <c r="C104" s="1"/>
      <c r="D104" s="1"/>
      <c r="E104" s="1"/>
      <c r="F104" s="5">
        <v>3.95</v>
      </c>
    </row>
    <row r="105" spans="2:6" x14ac:dyDescent="0.25">
      <c r="B105" s="10" t="s">
        <v>20</v>
      </c>
      <c r="C105" s="1"/>
      <c r="D105" s="1"/>
      <c r="E105" s="1"/>
      <c r="F105" s="4">
        <f>SUM(F93:F104)</f>
        <v>16.93</v>
      </c>
    </row>
    <row r="106" spans="2:6" x14ac:dyDescent="0.25">
      <c r="B106" s="3" t="s">
        <v>21</v>
      </c>
      <c r="C106" s="1"/>
      <c r="D106" s="1"/>
      <c r="E106" s="1"/>
      <c r="F106" s="1"/>
    </row>
    <row r="107" spans="2:6" x14ac:dyDescent="0.25">
      <c r="B107" s="1" t="s">
        <v>275</v>
      </c>
      <c r="C107" s="1" t="s">
        <v>26</v>
      </c>
      <c r="D107" s="1">
        <v>46</v>
      </c>
      <c r="E107" s="1">
        <v>69</v>
      </c>
      <c r="F107" s="24">
        <f>E107/583.1*1000/12</f>
        <v>9.8610872920596808</v>
      </c>
    </row>
    <row r="108" spans="2:6" x14ac:dyDescent="0.25">
      <c r="B108" s="1" t="s">
        <v>327</v>
      </c>
      <c r="C108" s="1" t="s">
        <v>261</v>
      </c>
      <c r="D108" s="1">
        <v>140</v>
      </c>
      <c r="E108" s="1">
        <v>140</v>
      </c>
      <c r="F108" s="24">
        <f t="shared" ref="F108:F119" si="2">E108/583.1*1000/12</f>
        <v>20.008003201280513</v>
      </c>
    </row>
    <row r="109" spans="2:6" x14ac:dyDescent="0.25">
      <c r="B109" s="1" t="s">
        <v>318</v>
      </c>
      <c r="C109" s="1" t="s">
        <v>26</v>
      </c>
      <c r="D109" s="1">
        <v>630</v>
      </c>
      <c r="E109" s="1">
        <v>504</v>
      </c>
      <c r="F109" s="24">
        <f t="shared" si="2"/>
        <v>72.02881152460985</v>
      </c>
    </row>
    <row r="110" spans="2:6" x14ac:dyDescent="0.25">
      <c r="B110" s="1" t="s">
        <v>390</v>
      </c>
      <c r="C110" s="1" t="s">
        <v>261</v>
      </c>
      <c r="D110" s="1">
        <v>34</v>
      </c>
      <c r="E110" s="1">
        <v>44.2</v>
      </c>
      <c r="F110" s="24">
        <f t="shared" si="2"/>
        <v>6.3168124392614189</v>
      </c>
    </row>
    <row r="111" spans="2:6" x14ac:dyDescent="0.25">
      <c r="B111" s="1" t="s">
        <v>319</v>
      </c>
      <c r="C111" s="1" t="s">
        <v>261</v>
      </c>
      <c r="D111" s="1">
        <v>14</v>
      </c>
      <c r="E111" s="1">
        <v>18.2</v>
      </c>
      <c r="F111" s="24">
        <f t="shared" si="2"/>
        <v>2.6010404161664664</v>
      </c>
    </row>
    <row r="112" spans="2:6" x14ac:dyDescent="0.25">
      <c r="B112" s="1" t="s">
        <v>320</v>
      </c>
      <c r="C112" s="1" t="s">
        <v>261</v>
      </c>
      <c r="D112" s="1">
        <v>30</v>
      </c>
      <c r="E112" s="1">
        <v>57</v>
      </c>
      <c r="F112" s="24">
        <f t="shared" si="2"/>
        <v>8.1461155890927781</v>
      </c>
    </row>
    <row r="113" spans="2:6" x14ac:dyDescent="0.25">
      <c r="B113" s="1" t="s">
        <v>325</v>
      </c>
      <c r="C113" s="1" t="s">
        <v>261</v>
      </c>
      <c r="D113" s="1">
        <v>20</v>
      </c>
      <c r="E113" s="1">
        <v>38</v>
      </c>
      <c r="F113" s="24">
        <f t="shared" si="2"/>
        <v>5.430743726061853</v>
      </c>
    </row>
    <row r="114" spans="2:6" x14ac:dyDescent="0.25">
      <c r="B114" s="1" t="s">
        <v>420</v>
      </c>
      <c r="C114" s="1" t="s">
        <v>265</v>
      </c>
      <c r="D114" s="1">
        <v>2</v>
      </c>
      <c r="E114" s="1">
        <v>30</v>
      </c>
      <c r="F114" s="24">
        <f t="shared" si="2"/>
        <v>4.2874292574172523</v>
      </c>
    </row>
    <row r="115" spans="2:6" x14ac:dyDescent="0.25">
      <c r="B115" s="1" t="s">
        <v>322</v>
      </c>
      <c r="C115" s="1" t="s">
        <v>261</v>
      </c>
      <c r="D115" s="1">
        <v>120</v>
      </c>
      <c r="E115" s="1">
        <v>144</v>
      </c>
      <c r="F115" s="24">
        <f t="shared" si="2"/>
        <v>20.579660435602815</v>
      </c>
    </row>
    <row r="116" spans="2:6" x14ac:dyDescent="0.25">
      <c r="B116" s="1" t="s">
        <v>323</v>
      </c>
      <c r="C116" s="1" t="s">
        <v>261</v>
      </c>
      <c r="D116" s="1">
        <v>160</v>
      </c>
      <c r="E116" s="1">
        <v>160</v>
      </c>
      <c r="F116" s="24">
        <f t="shared" si="2"/>
        <v>22.866289372892012</v>
      </c>
    </row>
    <row r="117" spans="2:6" x14ac:dyDescent="0.25">
      <c r="B117" s="1"/>
      <c r="C117" s="1"/>
      <c r="D117" s="1"/>
      <c r="E117" s="1"/>
      <c r="F117" s="24">
        <f t="shared" si="2"/>
        <v>0</v>
      </c>
    </row>
    <row r="118" spans="2:6" x14ac:dyDescent="0.25">
      <c r="B118" s="1"/>
      <c r="C118" s="1"/>
      <c r="D118" s="1"/>
      <c r="E118" s="1"/>
      <c r="F118" s="24">
        <f t="shared" si="2"/>
        <v>0</v>
      </c>
    </row>
    <row r="119" spans="2:6" x14ac:dyDescent="0.25">
      <c r="B119" s="1"/>
      <c r="C119" s="1"/>
      <c r="D119" s="1"/>
      <c r="E119" s="1"/>
      <c r="F119" s="24">
        <f t="shared" si="2"/>
        <v>0</v>
      </c>
    </row>
    <row r="120" spans="2:6" x14ac:dyDescent="0.25">
      <c r="B120" s="10" t="s">
        <v>20</v>
      </c>
      <c r="C120" s="1"/>
      <c r="D120" s="1"/>
      <c r="E120" s="4">
        <f>SUM(E107:E119)</f>
        <v>1204.4000000000001</v>
      </c>
      <c r="F120" s="22">
        <f>SUM(F107:F119)</f>
        <v>172.12599325444467</v>
      </c>
    </row>
    <row r="121" spans="2:6" x14ac:dyDescent="0.25">
      <c r="B121" s="4" t="s">
        <v>22</v>
      </c>
      <c r="C121" s="6"/>
      <c r="D121" s="6"/>
      <c r="E121" s="6"/>
      <c r="F121" s="23">
        <f>F105+F120</f>
        <v>189.05599325444467</v>
      </c>
    </row>
    <row r="122" spans="2:6" x14ac:dyDescent="0.25">
      <c r="B122" s="7"/>
      <c r="C122" s="7"/>
      <c r="D122" s="7"/>
      <c r="E122" s="7"/>
      <c r="F122" s="7"/>
    </row>
    <row r="123" spans="2:6" x14ac:dyDescent="0.25">
      <c r="B123" s="13"/>
      <c r="C123" s="13"/>
      <c r="D123" s="13"/>
      <c r="E123" s="13"/>
      <c r="F123" s="13"/>
    </row>
    <row r="124" spans="2:6" x14ac:dyDescent="0.25">
      <c r="B124" s="13"/>
      <c r="C124" s="13"/>
      <c r="D124" s="13"/>
      <c r="E124" s="13"/>
      <c r="F124" s="13"/>
    </row>
    <row r="125" spans="2:6" x14ac:dyDescent="0.25">
      <c r="B125" s="39" t="s">
        <v>23</v>
      </c>
      <c r="C125" s="38"/>
      <c r="D125" s="38"/>
      <c r="E125" s="39" t="s">
        <v>24</v>
      </c>
      <c r="F125" s="38"/>
    </row>
    <row r="127" spans="2:6" ht="36.6" customHeight="1" x14ac:dyDescent="0.25">
      <c r="B127" s="37" t="s">
        <v>113</v>
      </c>
      <c r="C127" s="37"/>
      <c r="D127" s="37"/>
      <c r="E127" s="37"/>
      <c r="F127" s="37"/>
    </row>
    <row r="128" spans="2:6" ht="31.15" customHeight="1" x14ac:dyDescent="0.25">
      <c r="B128" s="37" t="s">
        <v>1</v>
      </c>
      <c r="C128" s="37"/>
      <c r="D128" s="37"/>
      <c r="E128" s="37"/>
      <c r="F128" s="37"/>
    </row>
    <row r="129" spans="2:6" x14ac:dyDescent="0.25">
      <c r="B129" s="14" t="s">
        <v>0</v>
      </c>
      <c r="C129" s="14"/>
      <c r="D129" s="14"/>
      <c r="E129" s="14"/>
      <c r="F129" s="14"/>
    </row>
    <row r="130" spans="2:6" x14ac:dyDescent="0.25">
      <c r="B130" s="12"/>
      <c r="C130" s="38" t="s">
        <v>25</v>
      </c>
      <c r="D130" s="38"/>
      <c r="E130" s="12">
        <v>552.6</v>
      </c>
      <c r="F130" s="12" t="s">
        <v>26</v>
      </c>
    </row>
    <row r="132" spans="2:6" ht="60" x14ac:dyDescent="0.25">
      <c r="B132" s="1" t="s">
        <v>2</v>
      </c>
      <c r="C132" s="1" t="s">
        <v>4</v>
      </c>
      <c r="D132" s="1" t="s">
        <v>3</v>
      </c>
      <c r="E132" s="1" t="s">
        <v>447</v>
      </c>
      <c r="F132" s="1" t="s">
        <v>5</v>
      </c>
    </row>
    <row r="133" spans="2:6" x14ac:dyDescent="0.25">
      <c r="B133" s="1"/>
      <c r="C133" s="1"/>
      <c r="D133" s="1"/>
      <c r="E133" s="1"/>
      <c r="F133" s="1"/>
    </row>
    <row r="134" spans="2:6" x14ac:dyDescent="0.25">
      <c r="B134" s="3" t="s">
        <v>6</v>
      </c>
      <c r="C134" s="1"/>
      <c r="D134" s="1"/>
      <c r="E134" s="1"/>
      <c r="F134" s="1"/>
    </row>
    <row r="135" spans="2:6" x14ac:dyDescent="0.25">
      <c r="B135" s="5" t="s">
        <v>7</v>
      </c>
      <c r="C135" s="1"/>
      <c r="D135" s="1"/>
      <c r="E135" s="1"/>
      <c r="F135" s="5">
        <v>2.0099999999999998</v>
      </c>
    </row>
    <row r="136" spans="2:6" x14ac:dyDescent="0.25">
      <c r="B136" s="5" t="s">
        <v>8</v>
      </c>
      <c r="C136" s="1"/>
      <c r="D136" s="1"/>
      <c r="E136" s="1"/>
      <c r="F136" s="5">
        <v>5.34</v>
      </c>
    </row>
    <row r="137" spans="2:6" ht="24.75" x14ac:dyDescent="0.25">
      <c r="B137" s="5" t="s">
        <v>11</v>
      </c>
      <c r="C137" s="1"/>
      <c r="D137" s="1"/>
      <c r="E137" s="1"/>
      <c r="F137" s="5">
        <v>0.55000000000000004</v>
      </c>
    </row>
    <row r="138" spans="2:6" ht="24.75" x14ac:dyDescent="0.25">
      <c r="B138" s="5" t="s">
        <v>12</v>
      </c>
      <c r="C138" s="1"/>
      <c r="D138" s="1"/>
      <c r="E138" s="1"/>
      <c r="F138" s="5">
        <v>0.53</v>
      </c>
    </row>
    <row r="139" spans="2:6" ht="24.75" x14ac:dyDescent="0.25">
      <c r="B139" s="5" t="s">
        <v>13</v>
      </c>
      <c r="C139" s="1"/>
      <c r="D139" s="1"/>
      <c r="E139" s="1"/>
      <c r="F139" s="5">
        <v>0.19</v>
      </c>
    </row>
    <row r="140" spans="2:6" ht="24.75" x14ac:dyDescent="0.25">
      <c r="B140" s="5" t="s">
        <v>14</v>
      </c>
      <c r="C140" s="1"/>
      <c r="D140" s="1"/>
      <c r="E140" s="1"/>
      <c r="F140" s="5">
        <v>1.25</v>
      </c>
    </row>
    <row r="141" spans="2:6" ht="24.75" x14ac:dyDescent="0.25">
      <c r="B141" s="5" t="s">
        <v>9</v>
      </c>
      <c r="C141" s="1"/>
      <c r="D141" s="1"/>
      <c r="E141" s="1"/>
      <c r="F141" s="5">
        <v>0.26</v>
      </c>
    </row>
    <row r="142" spans="2:6" ht="24.75" x14ac:dyDescent="0.25">
      <c r="B142" s="5" t="s">
        <v>15</v>
      </c>
      <c r="C142" s="1"/>
      <c r="D142" s="1"/>
      <c r="E142" s="1"/>
      <c r="F142" s="5">
        <v>0.27</v>
      </c>
    </row>
    <row r="143" spans="2:6" ht="24.75" x14ac:dyDescent="0.25">
      <c r="B143" s="5" t="s">
        <v>16</v>
      </c>
      <c r="C143" s="1"/>
      <c r="D143" s="1"/>
      <c r="E143" s="1"/>
      <c r="F143" s="5">
        <v>0.28999999999999998</v>
      </c>
    </row>
    <row r="144" spans="2:6" x14ac:dyDescent="0.25">
      <c r="B144" s="5" t="s">
        <v>17</v>
      </c>
      <c r="C144" s="1"/>
      <c r="D144" s="1"/>
      <c r="E144" s="1"/>
      <c r="F144" s="5">
        <v>0.32</v>
      </c>
    </row>
    <row r="145" spans="2:6" x14ac:dyDescent="0.25">
      <c r="B145" s="5" t="s">
        <v>18</v>
      </c>
      <c r="C145" s="1"/>
      <c r="D145" s="1"/>
      <c r="E145" s="1"/>
      <c r="F145" s="5">
        <v>1.97</v>
      </c>
    </row>
    <row r="146" spans="2:6" x14ac:dyDescent="0.25">
      <c r="B146" s="5" t="s">
        <v>19</v>
      </c>
      <c r="C146" s="1"/>
      <c r="D146" s="1"/>
      <c r="E146" s="1"/>
      <c r="F146" s="5">
        <v>3.95</v>
      </c>
    </row>
    <row r="147" spans="2:6" x14ac:dyDescent="0.25">
      <c r="B147" s="10" t="s">
        <v>20</v>
      </c>
      <c r="C147" s="1"/>
      <c r="D147" s="1"/>
      <c r="E147" s="1"/>
      <c r="F147" s="4">
        <f>SUM(F135:F146)</f>
        <v>16.93</v>
      </c>
    </row>
    <row r="148" spans="2:6" x14ac:dyDescent="0.25">
      <c r="B148" s="3" t="s">
        <v>21</v>
      </c>
      <c r="C148" s="1"/>
      <c r="D148" s="1"/>
      <c r="E148" s="1"/>
      <c r="F148" s="1"/>
    </row>
    <row r="149" spans="2:6" x14ac:dyDescent="0.25">
      <c r="B149" s="1" t="s">
        <v>317</v>
      </c>
      <c r="C149" s="1" t="s">
        <v>256</v>
      </c>
      <c r="D149" s="1">
        <v>1</v>
      </c>
      <c r="E149" s="1">
        <v>45</v>
      </c>
      <c r="F149" s="24">
        <f>E149/552.6*1000/12</f>
        <v>6.7861020629750266</v>
      </c>
    </row>
    <row r="150" spans="2:6" x14ac:dyDescent="0.25">
      <c r="B150" s="1" t="s">
        <v>327</v>
      </c>
      <c r="C150" s="1" t="s">
        <v>261</v>
      </c>
      <c r="D150" s="1">
        <v>163</v>
      </c>
      <c r="E150" s="1">
        <v>163</v>
      </c>
      <c r="F150" s="24">
        <f t="shared" ref="F150:F161" si="3">E150/552.6*1000/12</f>
        <v>24.580769694776208</v>
      </c>
    </row>
    <row r="151" spans="2:6" x14ac:dyDescent="0.25">
      <c r="B151" s="1" t="s">
        <v>334</v>
      </c>
      <c r="C151" s="1" t="s">
        <v>265</v>
      </c>
      <c r="D151" s="1">
        <v>2</v>
      </c>
      <c r="E151" s="1">
        <v>20</v>
      </c>
      <c r="F151" s="24">
        <f t="shared" si="3"/>
        <v>3.016045361322234</v>
      </c>
    </row>
    <row r="152" spans="2:6" x14ac:dyDescent="0.25">
      <c r="B152" s="1" t="s">
        <v>335</v>
      </c>
      <c r="C152" s="1" t="s">
        <v>26</v>
      </c>
      <c r="D152" s="1">
        <v>616</v>
      </c>
      <c r="E152" s="1">
        <v>492.8</v>
      </c>
      <c r="F152" s="24">
        <f t="shared" si="3"/>
        <v>74.315357702979853</v>
      </c>
    </row>
    <row r="153" spans="2:6" x14ac:dyDescent="0.25">
      <c r="B153" s="1" t="s">
        <v>422</v>
      </c>
      <c r="C153" s="1" t="s">
        <v>26</v>
      </c>
      <c r="D153" s="1">
        <v>500</v>
      </c>
      <c r="E153" s="1">
        <v>600</v>
      </c>
      <c r="F153" s="24">
        <f t="shared" si="3"/>
        <v>90.481360839667033</v>
      </c>
    </row>
    <row r="154" spans="2:6" x14ac:dyDescent="0.25">
      <c r="B154" s="1" t="s">
        <v>371</v>
      </c>
      <c r="C154" s="1" t="s">
        <v>261</v>
      </c>
      <c r="D154" s="1">
        <v>12</v>
      </c>
      <c r="E154" s="1">
        <v>15.6</v>
      </c>
      <c r="F154" s="24">
        <f t="shared" si="3"/>
        <v>2.3525153818313425</v>
      </c>
    </row>
    <row r="155" spans="2:6" x14ac:dyDescent="0.25">
      <c r="B155" s="1" t="s">
        <v>342</v>
      </c>
      <c r="C155" s="1" t="s">
        <v>265</v>
      </c>
      <c r="D155" s="1">
        <v>2</v>
      </c>
      <c r="E155" s="1">
        <v>28</v>
      </c>
      <c r="F155" s="24">
        <f t="shared" si="3"/>
        <v>4.2224635058511275</v>
      </c>
    </row>
    <row r="156" spans="2:6" x14ac:dyDescent="0.25">
      <c r="B156" s="1" t="s">
        <v>320</v>
      </c>
      <c r="C156" s="1" t="s">
        <v>261</v>
      </c>
      <c r="D156" s="1">
        <v>30</v>
      </c>
      <c r="E156" s="1">
        <v>57</v>
      </c>
      <c r="F156" s="24">
        <f t="shared" si="3"/>
        <v>8.5957292797683671</v>
      </c>
    </row>
    <row r="157" spans="2:6" x14ac:dyDescent="0.25">
      <c r="B157" s="1" t="s">
        <v>325</v>
      </c>
      <c r="C157" s="1" t="s">
        <v>261</v>
      </c>
      <c r="D157" s="1">
        <v>20</v>
      </c>
      <c r="E157" s="1">
        <v>38</v>
      </c>
      <c r="F157" s="24">
        <f t="shared" si="3"/>
        <v>5.7304861865122456</v>
      </c>
    </row>
    <row r="158" spans="2:6" x14ac:dyDescent="0.25">
      <c r="B158" s="1" t="s">
        <v>419</v>
      </c>
      <c r="C158" s="1" t="s">
        <v>265</v>
      </c>
      <c r="D158" s="1">
        <v>1</v>
      </c>
      <c r="E158" s="1">
        <v>10</v>
      </c>
      <c r="F158" s="24">
        <f t="shared" si="3"/>
        <v>1.508022680661117</v>
      </c>
    </row>
    <row r="159" spans="2:6" x14ac:dyDescent="0.25">
      <c r="B159" s="1" t="s">
        <v>423</v>
      </c>
      <c r="C159" s="1" t="s">
        <v>265</v>
      </c>
      <c r="D159" s="1">
        <v>2</v>
      </c>
      <c r="E159" s="1">
        <v>30</v>
      </c>
      <c r="F159" s="24">
        <f t="shared" si="3"/>
        <v>4.5240680419833508</v>
      </c>
    </row>
    <row r="160" spans="2:6" x14ac:dyDescent="0.25">
      <c r="B160" s="1" t="s">
        <v>322</v>
      </c>
      <c r="C160" s="1" t="s">
        <v>261</v>
      </c>
      <c r="D160" s="1">
        <v>120</v>
      </c>
      <c r="E160" s="1">
        <v>144</v>
      </c>
      <c r="F160" s="24">
        <f t="shared" si="3"/>
        <v>21.715526601520086</v>
      </c>
    </row>
    <row r="161" spans="2:6" x14ac:dyDescent="0.25">
      <c r="B161" s="1" t="s">
        <v>323</v>
      </c>
      <c r="C161" s="1" t="s">
        <v>261</v>
      </c>
      <c r="D161" s="1">
        <v>160</v>
      </c>
      <c r="E161" s="1">
        <v>160</v>
      </c>
      <c r="F161" s="24">
        <f t="shared" si="3"/>
        <v>24.128362890577872</v>
      </c>
    </row>
    <row r="162" spans="2:6" x14ac:dyDescent="0.25">
      <c r="B162" s="10" t="s">
        <v>20</v>
      </c>
      <c r="C162" s="1"/>
      <c r="D162" s="1"/>
      <c r="E162" s="4">
        <f>SUM(E149:E161)</f>
        <v>1803.3999999999999</v>
      </c>
      <c r="F162" s="22">
        <f>SUM(F149:F161)</f>
        <v>271.95681023042584</v>
      </c>
    </row>
    <row r="163" spans="2:6" x14ac:dyDescent="0.25">
      <c r="B163" s="4" t="s">
        <v>22</v>
      </c>
      <c r="C163" s="6"/>
      <c r="D163" s="6"/>
      <c r="E163" s="6"/>
      <c r="F163" s="23">
        <f>F147+F162</f>
        <v>288.88681023042585</v>
      </c>
    </row>
    <row r="164" spans="2:6" x14ac:dyDescent="0.25">
      <c r="B164" s="7"/>
      <c r="C164" s="7"/>
      <c r="D164" s="7"/>
      <c r="E164" s="7"/>
      <c r="F164" s="7"/>
    </row>
    <row r="165" spans="2:6" x14ac:dyDescent="0.25">
      <c r="B165" s="13"/>
      <c r="C165" s="13"/>
      <c r="D165" s="13"/>
      <c r="E165" s="13"/>
      <c r="F165" s="13"/>
    </row>
    <row r="166" spans="2:6" x14ac:dyDescent="0.25">
      <c r="B166" s="13"/>
      <c r="C166" s="13"/>
      <c r="D166" s="13"/>
      <c r="E166" s="13"/>
      <c r="F166" s="13"/>
    </row>
    <row r="167" spans="2:6" x14ac:dyDescent="0.25">
      <c r="B167" s="39" t="s">
        <v>23</v>
      </c>
      <c r="C167" s="38"/>
      <c r="D167" s="38"/>
      <c r="E167" s="39" t="s">
        <v>24</v>
      </c>
      <c r="F167" s="38"/>
    </row>
    <row r="169" spans="2:6" ht="37.9" customHeight="1" x14ac:dyDescent="0.25">
      <c r="B169" s="37" t="s">
        <v>114</v>
      </c>
      <c r="C169" s="37"/>
      <c r="D169" s="37"/>
      <c r="E169" s="37"/>
      <c r="F169" s="37"/>
    </row>
    <row r="170" spans="2:6" ht="33.6" customHeight="1" x14ac:dyDescent="0.25">
      <c r="B170" s="37" t="s">
        <v>1</v>
      </c>
      <c r="C170" s="37"/>
      <c r="D170" s="37"/>
      <c r="E170" s="37"/>
      <c r="F170" s="37"/>
    </row>
    <row r="171" spans="2:6" x14ac:dyDescent="0.25">
      <c r="B171" s="14" t="s">
        <v>0</v>
      </c>
      <c r="C171" s="14"/>
      <c r="D171" s="14"/>
      <c r="E171" s="14"/>
      <c r="F171" s="14"/>
    </row>
    <row r="172" spans="2:6" x14ac:dyDescent="0.25">
      <c r="B172" s="12"/>
      <c r="C172" s="38" t="s">
        <v>25</v>
      </c>
      <c r="D172" s="38"/>
      <c r="E172" s="12">
        <v>578.20000000000005</v>
      </c>
      <c r="F172" s="12" t="s">
        <v>26</v>
      </c>
    </row>
    <row r="174" spans="2:6" ht="60" x14ac:dyDescent="0.25">
      <c r="B174" s="1" t="s">
        <v>2</v>
      </c>
      <c r="C174" s="1" t="s">
        <v>4</v>
      </c>
      <c r="D174" s="1" t="s">
        <v>3</v>
      </c>
      <c r="E174" s="1" t="s">
        <v>447</v>
      </c>
      <c r="F174" s="1" t="s">
        <v>5</v>
      </c>
    </row>
    <row r="175" spans="2:6" x14ac:dyDescent="0.25">
      <c r="B175" s="1"/>
      <c r="C175" s="1"/>
      <c r="D175" s="1"/>
      <c r="E175" s="1"/>
      <c r="F175" s="1"/>
    </row>
    <row r="176" spans="2:6" x14ac:dyDescent="0.25">
      <c r="B176" s="3" t="s">
        <v>6</v>
      </c>
      <c r="C176" s="1"/>
      <c r="D176" s="1"/>
      <c r="E176" s="1"/>
      <c r="F176" s="1"/>
    </row>
    <row r="177" spans="2:6" x14ac:dyDescent="0.25">
      <c r="B177" s="5" t="s">
        <v>7</v>
      </c>
      <c r="C177" s="1"/>
      <c r="D177" s="1"/>
      <c r="E177" s="1"/>
      <c r="F177" s="5">
        <v>2.0099999999999998</v>
      </c>
    </row>
    <row r="178" spans="2:6" x14ac:dyDescent="0.25">
      <c r="B178" s="5" t="s">
        <v>8</v>
      </c>
      <c r="C178" s="1"/>
      <c r="D178" s="1"/>
      <c r="E178" s="1"/>
      <c r="F178" s="5">
        <v>5.34</v>
      </c>
    </row>
    <row r="179" spans="2:6" ht="24.75" x14ac:dyDescent="0.25">
      <c r="B179" s="5" t="s">
        <v>11</v>
      </c>
      <c r="C179" s="1"/>
      <c r="D179" s="1"/>
      <c r="E179" s="1"/>
      <c r="F179" s="5">
        <v>0.55000000000000004</v>
      </c>
    </row>
    <row r="180" spans="2:6" ht="24.75" x14ac:dyDescent="0.25">
      <c r="B180" s="5" t="s">
        <v>12</v>
      </c>
      <c r="C180" s="1"/>
      <c r="D180" s="1"/>
      <c r="E180" s="1"/>
      <c r="F180" s="5">
        <v>0.53</v>
      </c>
    </row>
    <row r="181" spans="2:6" ht="24.75" x14ac:dyDescent="0.25">
      <c r="B181" s="5" t="s">
        <v>13</v>
      </c>
      <c r="C181" s="1"/>
      <c r="D181" s="1"/>
      <c r="E181" s="1"/>
      <c r="F181" s="5">
        <v>0.19</v>
      </c>
    </row>
    <row r="182" spans="2:6" ht="24.75" x14ac:dyDescent="0.25">
      <c r="B182" s="5" t="s">
        <v>14</v>
      </c>
      <c r="C182" s="1"/>
      <c r="D182" s="1"/>
      <c r="E182" s="1"/>
      <c r="F182" s="5">
        <v>1.25</v>
      </c>
    </row>
    <row r="183" spans="2:6" ht="24.75" x14ac:dyDescent="0.25">
      <c r="B183" s="5" t="s">
        <v>9</v>
      </c>
      <c r="C183" s="1"/>
      <c r="D183" s="1"/>
      <c r="E183" s="1"/>
      <c r="F183" s="5">
        <v>0.26</v>
      </c>
    </row>
    <row r="184" spans="2:6" ht="24.75" x14ac:dyDescent="0.25">
      <c r="B184" s="5" t="s">
        <v>15</v>
      </c>
      <c r="C184" s="1"/>
      <c r="D184" s="1"/>
      <c r="E184" s="1"/>
      <c r="F184" s="5">
        <v>0.27</v>
      </c>
    </row>
    <row r="185" spans="2:6" ht="24.75" x14ac:dyDescent="0.25">
      <c r="B185" s="5" t="s">
        <v>16</v>
      </c>
      <c r="C185" s="1"/>
      <c r="D185" s="1"/>
      <c r="E185" s="1"/>
      <c r="F185" s="5">
        <v>0.28999999999999998</v>
      </c>
    </row>
    <row r="186" spans="2:6" x14ac:dyDescent="0.25">
      <c r="B186" s="5" t="s">
        <v>17</v>
      </c>
      <c r="C186" s="1"/>
      <c r="D186" s="1"/>
      <c r="E186" s="1"/>
      <c r="F186" s="5">
        <v>0.32</v>
      </c>
    </row>
    <row r="187" spans="2:6" x14ac:dyDescent="0.25">
      <c r="B187" s="5" t="s">
        <v>18</v>
      </c>
      <c r="C187" s="1"/>
      <c r="D187" s="1"/>
      <c r="E187" s="1"/>
      <c r="F187" s="5">
        <v>1.97</v>
      </c>
    </row>
    <row r="188" spans="2:6" x14ac:dyDescent="0.25">
      <c r="B188" s="5" t="s">
        <v>19</v>
      </c>
      <c r="C188" s="1"/>
      <c r="D188" s="1"/>
      <c r="E188" s="1"/>
      <c r="F188" s="5">
        <v>3.95</v>
      </c>
    </row>
    <row r="189" spans="2:6" x14ac:dyDescent="0.25">
      <c r="B189" s="10" t="s">
        <v>20</v>
      </c>
      <c r="C189" s="1"/>
      <c r="D189" s="1"/>
      <c r="E189" s="1"/>
      <c r="F189" s="4">
        <f>SUM(F177:F188)</f>
        <v>16.93</v>
      </c>
    </row>
    <row r="190" spans="2:6" x14ac:dyDescent="0.25">
      <c r="B190" s="3" t="s">
        <v>21</v>
      </c>
      <c r="C190" s="1"/>
      <c r="D190" s="1"/>
      <c r="E190" s="1"/>
      <c r="F190" s="1"/>
    </row>
    <row r="191" spans="2:6" x14ac:dyDescent="0.25">
      <c r="B191" s="1" t="s">
        <v>317</v>
      </c>
      <c r="C191" s="1" t="s">
        <v>256</v>
      </c>
      <c r="D191" s="1">
        <v>2</v>
      </c>
      <c r="E191" s="1">
        <v>90</v>
      </c>
      <c r="F191" s="24">
        <f>E191/578.2*1000/12</f>
        <v>12.971290210999655</v>
      </c>
    </row>
    <row r="192" spans="2:6" x14ac:dyDescent="0.25">
      <c r="B192" s="1" t="s">
        <v>373</v>
      </c>
      <c r="C192" s="1" t="s">
        <v>368</v>
      </c>
      <c r="D192" s="1">
        <v>0.25</v>
      </c>
      <c r="E192" s="1">
        <v>12.5</v>
      </c>
      <c r="F192" s="24">
        <f t="shared" ref="F192:F203" si="4">E192/578.2*1000/12</f>
        <v>1.8015680848610629</v>
      </c>
    </row>
    <row r="193" spans="2:6" x14ac:dyDescent="0.25">
      <c r="B193" s="1" t="s">
        <v>326</v>
      </c>
      <c r="C193" s="1" t="s">
        <v>26</v>
      </c>
      <c r="D193" s="1">
        <v>153</v>
      </c>
      <c r="E193" s="1">
        <v>153</v>
      </c>
      <c r="F193" s="24">
        <f t="shared" si="4"/>
        <v>22.051193358699408</v>
      </c>
    </row>
    <row r="194" spans="2:6" x14ac:dyDescent="0.25">
      <c r="B194" s="1" t="s">
        <v>327</v>
      </c>
      <c r="C194" s="1" t="s">
        <v>261</v>
      </c>
      <c r="D194" s="1">
        <v>160</v>
      </c>
      <c r="E194" s="1">
        <v>160</v>
      </c>
      <c r="F194" s="24">
        <f t="shared" si="4"/>
        <v>23.060071486221606</v>
      </c>
    </row>
    <row r="195" spans="2:6" x14ac:dyDescent="0.25">
      <c r="B195" s="1"/>
      <c r="C195" s="1"/>
      <c r="D195" s="1"/>
      <c r="E195" s="1"/>
      <c r="F195" s="24"/>
    </row>
    <row r="196" spans="2:6" x14ac:dyDescent="0.25">
      <c r="B196" s="1" t="s">
        <v>275</v>
      </c>
      <c r="C196" s="1" t="s">
        <v>26</v>
      </c>
      <c r="D196" s="1">
        <v>84</v>
      </c>
      <c r="E196" s="1">
        <v>58.8</v>
      </c>
      <c r="F196" s="24">
        <f t="shared" si="4"/>
        <v>8.4745762711864412</v>
      </c>
    </row>
    <row r="197" spans="2:6" x14ac:dyDescent="0.25">
      <c r="B197" s="1" t="s">
        <v>318</v>
      </c>
      <c r="C197" s="1" t="s">
        <v>26</v>
      </c>
      <c r="D197" s="1">
        <v>616</v>
      </c>
      <c r="E197" s="1">
        <v>492.8</v>
      </c>
      <c r="F197" s="24">
        <f t="shared" si="4"/>
        <v>71.025020177562538</v>
      </c>
    </row>
    <row r="198" spans="2:6" x14ac:dyDescent="0.25">
      <c r="B198" s="1" t="s">
        <v>390</v>
      </c>
      <c r="C198" s="1" t="s">
        <v>261</v>
      </c>
      <c r="D198" s="1">
        <v>40</v>
      </c>
      <c r="E198" s="1">
        <v>52</v>
      </c>
      <c r="F198" s="24">
        <f t="shared" si="4"/>
        <v>7.4945232330220213</v>
      </c>
    </row>
    <row r="199" spans="2:6" x14ac:dyDescent="0.25">
      <c r="B199" s="1" t="s">
        <v>319</v>
      </c>
      <c r="C199" s="1" t="s">
        <v>261</v>
      </c>
      <c r="D199" s="1">
        <v>20</v>
      </c>
      <c r="E199" s="1">
        <v>26</v>
      </c>
      <c r="F199" s="24">
        <f t="shared" si="4"/>
        <v>3.7472616165110106</v>
      </c>
    </row>
    <row r="200" spans="2:6" x14ac:dyDescent="0.25">
      <c r="B200" s="1" t="s">
        <v>343</v>
      </c>
      <c r="C200" s="1" t="s">
        <v>256</v>
      </c>
      <c r="D200" s="1">
        <v>1</v>
      </c>
      <c r="E200" s="1">
        <v>80</v>
      </c>
      <c r="F200" s="24">
        <f t="shared" si="4"/>
        <v>11.530035743110803</v>
      </c>
    </row>
    <row r="201" spans="2:6" x14ac:dyDescent="0.25">
      <c r="B201" s="1" t="s">
        <v>339</v>
      </c>
      <c r="C201" s="1" t="s">
        <v>265</v>
      </c>
      <c r="D201" s="1">
        <v>2</v>
      </c>
      <c r="E201" s="1">
        <v>2</v>
      </c>
      <c r="F201" s="24">
        <f t="shared" si="4"/>
        <v>0.28825089357777006</v>
      </c>
    </row>
    <row r="202" spans="2:6" x14ac:dyDescent="0.25">
      <c r="B202" s="1" t="s">
        <v>322</v>
      </c>
      <c r="C202" s="1" t="s">
        <v>261</v>
      </c>
      <c r="D202" s="1">
        <v>120</v>
      </c>
      <c r="E202" s="1">
        <v>144</v>
      </c>
      <c r="F202" s="24">
        <f t="shared" si="4"/>
        <v>20.754064337599445</v>
      </c>
    </row>
    <row r="203" spans="2:6" x14ac:dyDescent="0.25">
      <c r="B203" s="1" t="s">
        <v>323</v>
      </c>
      <c r="C203" s="1" t="s">
        <v>261</v>
      </c>
      <c r="D203" s="1">
        <v>160</v>
      </c>
      <c r="E203" s="1">
        <v>160</v>
      </c>
      <c r="F203" s="24">
        <f t="shared" si="4"/>
        <v>23.060071486221606</v>
      </c>
    </row>
    <row r="204" spans="2:6" x14ac:dyDescent="0.25">
      <c r="B204" s="10" t="s">
        <v>20</v>
      </c>
      <c r="C204" s="1"/>
      <c r="D204" s="1"/>
      <c r="E204" s="4">
        <f>SUM(E191:E203)</f>
        <v>1431.1</v>
      </c>
      <c r="F204" s="22">
        <f>SUM(F191:F203)</f>
        <v>206.25792689957336</v>
      </c>
    </row>
    <row r="205" spans="2:6" x14ac:dyDescent="0.25">
      <c r="B205" s="4" t="s">
        <v>22</v>
      </c>
      <c r="C205" s="6"/>
      <c r="D205" s="6"/>
      <c r="E205" s="6"/>
      <c r="F205" s="23">
        <f>F189+F204</f>
        <v>223.18792689957337</v>
      </c>
    </row>
    <row r="206" spans="2:6" x14ac:dyDescent="0.25">
      <c r="B206" s="7"/>
      <c r="C206" s="7"/>
      <c r="D206" s="7"/>
      <c r="E206" s="7"/>
      <c r="F206" s="7"/>
    </row>
    <row r="207" spans="2:6" x14ac:dyDescent="0.25">
      <c r="B207" s="13"/>
      <c r="C207" s="13"/>
      <c r="D207" s="13"/>
      <c r="E207" s="13"/>
      <c r="F207" s="13"/>
    </row>
    <row r="208" spans="2:6" x14ac:dyDescent="0.25">
      <c r="B208" s="13"/>
      <c r="C208" s="13"/>
      <c r="D208" s="13"/>
      <c r="E208" s="13"/>
      <c r="F208" s="13"/>
    </row>
    <row r="209" spans="2:6" x14ac:dyDescent="0.25">
      <c r="B209" s="39" t="s">
        <v>23</v>
      </c>
      <c r="C209" s="38"/>
      <c r="D209" s="38"/>
      <c r="E209" s="39" t="s">
        <v>24</v>
      </c>
      <c r="F209" s="38"/>
    </row>
    <row r="211" spans="2:6" ht="38.450000000000003" customHeight="1" x14ac:dyDescent="0.25">
      <c r="B211" s="37" t="s">
        <v>115</v>
      </c>
      <c r="C211" s="37"/>
      <c r="D211" s="37"/>
      <c r="E211" s="37"/>
      <c r="F211" s="37"/>
    </row>
    <row r="212" spans="2:6" ht="33" customHeight="1" x14ac:dyDescent="0.25">
      <c r="B212" s="37" t="s">
        <v>1</v>
      </c>
      <c r="C212" s="37"/>
      <c r="D212" s="37"/>
      <c r="E212" s="37"/>
      <c r="F212" s="37"/>
    </row>
    <row r="213" spans="2:6" x14ac:dyDescent="0.25">
      <c r="B213" s="14" t="s">
        <v>0</v>
      </c>
      <c r="C213" s="14"/>
      <c r="D213" s="14"/>
      <c r="E213" s="14"/>
      <c r="F213" s="14"/>
    </row>
    <row r="214" spans="2:6" x14ac:dyDescent="0.25">
      <c r="B214" s="12"/>
      <c r="C214" s="38" t="s">
        <v>25</v>
      </c>
      <c r="D214" s="38"/>
      <c r="E214" s="12">
        <v>499.3</v>
      </c>
      <c r="F214" s="12" t="s">
        <v>26</v>
      </c>
    </row>
    <row r="216" spans="2:6" ht="60" x14ac:dyDescent="0.25">
      <c r="B216" s="1" t="s">
        <v>2</v>
      </c>
      <c r="C216" s="1" t="s">
        <v>4</v>
      </c>
      <c r="D216" s="1" t="s">
        <v>3</v>
      </c>
      <c r="E216" s="1" t="s">
        <v>447</v>
      </c>
      <c r="F216" s="1" t="s">
        <v>5</v>
      </c>
    </row>
    <row r="217" spans="2:6" x14ac:dyDescent="0.25">
      <c r="B217" s="1"/>
      <c r="C217" s="1"/>
      <c r="D217" s="1"/>
      <c r="E217" s="1"/>
      <c r="F217" s="1"/>
    </row>
    <row r="218" spans="2:6" x14ac:dyDescent="0.25">
      <c r="B218" s="3" t="s">
        <v>6</v>
      </c>
      <c r="C218" s="1"/>
      <c r="D218" s="1"/>
      <c r="E218" s="1"/>
      <c r="F218" s="1"/>
    </row>
    <row r="219" spans="2:6" x14ac:dyDescent="0.25">
      <c r="B219" s="5" t="s">
        <v>7</v>
      </c>
      <c r="C219" s="1"/>
      <c r="D219" s="1"/>
      <c r="E219" s="1"/>
      <c r="F219" s="5">
        <v>2.0099999999999998</v>
      </c>
    </row>
    <row r="220" spans="2:6" x14ac:dyDescent="0.25">
      <c r="B220" s="5" t="s">
        <v>8</v>
      </c>
      <c r="C220" s="1"/>
      <c r="D220" s="1"/>
      <c r="E220" s="1"/>
      <c r="F220" s="5">
        <v>5.34</v>
      </c>
    </row>
    <row r="221" spans="2:6" ht="24.75" x14ac:dyDescent="0.25">
      <c r="B221" s="5" t="s">
        <v>11</v>
      </c>
      <c r="C221" s="1"/>
      <c r="D221" s="1"/>
      <c r="E221" s="1"/>
      <c r="F221" s="5">
        <v>0.55000000000000004</v>
      </c>
    </row>
    <row r="222" spans="2:6" ht="24.75" x14ac:dyDescent="0.25">
      <c r="B222" s="5" t="s">
        <v>12</v>
      </c>
      <c r="C222" s="1"/>
      <c r="D222" s="1"/>
      <c r="E222" s="1"/>
      <c r="F222" s="5">
        <v>0.53</v>
      </c>
    </row>
    <row r="223" spans="2:6" ht="24.75" x14ac:dyDescent="0.25">
      <c r="B223" s="5" t="s">
        <v>13</v>
      </c>
      <c r="C223" s="1"/>
      <c r="D223" s="1"/>
      <c r="E223" s="1"/>
      <c r="F223" s="5">
        <v>0.19</v>
      </c>
    </row>
    <row r="224" spans="2:6" ht="24.75" x14ac:dyDescent="0.25">
      <c r="B224" s="5" t="s">
        <v>14</v>
      </c>
      <c r="C224" s="1"/>
      <c r="D224" s="1"/>
      <c r="E224" s="1"/>
      <c r="F224" s="5">
        <v>1.25</v>
      </c>
    </row>
    <row r="225" spans="2:6" ht="24.75" x14ac:dyDescent="0.25">
      <c r="B225" s="5" t="s">
        <v>9</v>
      </c>
      <c r="C225" s="1"/>
      <c r="D225" s="1"/>
      <c r="E225" s="1"/>
      <c r="F225" s="5">
        <v>0.26</v>
      </c>
    </row>
    <row r="226" spans="2:6" ht="24.75" x14ac:dyDescent="0.25">
      <c r="B226" s="5" t="s">
        <v>15</v>
      </c>
      <c r="C226" s="1"/>
      <c r="D226" s="1"/>
      <c r="E226" s="1"/>
      <c r="F226" s="5">
        <v>0.27</v>
      </c>
    </row>
    <row r="227" spans="2:6" ht="24.75" x14ac:dyDescent="0.25">
      <c r="B227" s="5" t="s">
        <v>16</v>
      </c>
      <c r="C227" s="1"/>
      <c r="D227" s="1"/>
      <c r="E227" s="1"/>
      <c r="F227" s="5">
        <v>0.28999999999999998</v>
      </c>
    </row>
    <row r="228" spans="2:6" x14ac:dyDescent="0.25">
      <c r="B228" s="5" t="s">
        <v>17</v>
      </c>
      <c r="C228" s="1"/>
      <c r="D228" s="1"/>
      <c r="E228" s="1"/>
      <c r="F228" s="5">
        <v>0.32</v>
      </c>
    </row>
    <row r="229" spans="2:6" x14ac:dyDescent="0.25">
      <c r="B229" s="5" t="s">
        <v>18</v>
      </c>
      <c r="C229" s="1"/>
      <c r="D229" s="1"/>
      <c r="E229" s="1"/>
      <c r="F229" s="5">
        <v>1.97</v>
      </c>
    </row>
    <row r="230" spans="2:6" x14ac:dyDescent="0.25">
      <c r="B230" s="5" t="s">
        <v>19</v>
      </c>
      <c r="C230" s="1"/>
      <c r="D230" s="1"/>
      <c r="E230" s="1"/>
      <c r="F230" s="5">
        <v>3.95</v>
      </c>
    </row>
    <row r="231" spans="2:6" x14ac:dyDescent="0.25">
      <c r="B231" s="10" t="s">
        <v>20</v>
      </c>
      <c r="C231" s="1"/>
      <c r="D231" s="1"/>
      <c r="E231" s="1"/>
      <c r="F231" s="4">
        <f>SUM(F219:F230)</f>
        <v>16.93</v>
      </c>
    </row>
    <row r="232" spans="2:6" x14ac:dyDescent="0.25">
      <c r="B232" s="3" t="s">
        <v>21</v>
      </c>
      <c r="C232" s="1"/>
      <c r="D232" s="1"/>
      <c r="E232" s="1"/>
      <c r="F232" s="1"/>
    </row>
    <row r="233" spans="2:6" x14ac:dyDescent="0.25">
      <c r="B233" s="1" t="s">
        <v>317</v>
      </c>
      <c r="C233" s="1" t="s">
        <v>256</v>
      </c>
      <c r="D233" s="1">
        <v>1</v>
      </c>
      <c r="E233" s="1">
        <v>45</v>
      </c>
      <c r="F233" s="24">
        <f>E233/499.3*1000/12</f>
        <v>7.5105147206088523</v>
      </c>
    </row>
    <row r="234" spans="2:6" x14ac:dyDescent="0.25">
      <c r="B234" s="1" t="s">
        <v>327</v>
      </c>
      <c r="C234" s="1" t="s">
        <v>261</v>
      </c>
      <c r="D234" s="1">
        <v>185</v>
      </c>
      <c r="E234" s="1">
        <v>185</v>
      </c>
      <c r="F234" s="24">
        <f t="shared" ref="F234:F245" si="5">E234/499.3*1000/12</f>
        <v>30.876560518058614</v>
      </c>
    </row>
    <row r="235" spans="2:6" x14ac:dyDescent="0.25">
      <c r="B235" s="1" t="s">
        <v>319</v>
      </c>
      <c r="C235" s="1" t="s">
        <v>261</v>
      </c>
      <c r="D235" s="1">
        <v>16</v>
      </c>
      <c r="E235" s="1">
        <v>20.8</v>
      </c>
      <c r="F235" s="24">
        <f t="shared" si="5"/>
        <v>3.471526804192536</v>
      </c>
    </row>
    <row r="236" spans="2:6" x14ac:dyDescent="0.25">
      <c r="B236" s="1" t="s">
        <v>320</v>
      </c>
      <c r="C236" s="1" t="s">
        <v>261</v>
      </c>
      <c r="D236" s="1">
        <v>20</v>
      </c>
      <c r="E236" s="1">
        <v>38</v>
      </c>
      <c r="F236" s="24">
        <f t="shared" si="5"/>
        <v>6.3422124307363639</v>
      </c>
    </row>
    <row r="237" spans="2:6" x14ac:dyDescent="0.25">
      <c r="B237" s="1" t="s">
        <v>325</v>
      </c>
      <c r="C237" s="1" t="s">
        <v>261</v>
      </c>
      <c r="D237" s="1">
        <v>20</v>
      </c>
      <c r="E237" s="1">
        <v>38</v>
      </c>
      <c r="F237" s="24">
        <f t="shared" si="5"/>
        <v>6.3422124307363639</v>
      </c>
    </row>
    <row r="238" spans="2:6" x14ac:dyDescent="0.25">
      <c r="B238" s="1" t="s">
        <v>424</v>
      </c>
      <c r="C238" s="1" t="s">
        <v>265</v>
      </c>
      <c r="D238" s="1">
        <v>4</v>
      </c>
      <c r="E238" s="1">
        <v>2.8</v>
      </c>
      <c r="F238" s="24">
        <f t="shared" si="5"/>
        <v>0.46732091594899522</v>
      </c>
    </row>
    <row r="239" spans="2:6" x14ac:dyDescent="0.25">
      <c r="B239" s="1" t="s">
        <v>322</v>
      </c>
      <c r="C239" s="1" t="s">
        <v>261</v>
      </c>
      <c r="D239" s="1">
        <v>120</v>
      </c>
      <c r="E239" s="1">
        <v>144</v>
      </c>
      <c r="F239" s="24">
        <f t="shared" si="5"/>
        <v>24.033647105948329</v>
      </c>
    </row>
    <row r="240" spans="2:6" x14ac:dyDescent="0.25">
      <c r="B240" s="1" t="s">
        <v>323</v>
      </c>
      <c r="C240" s="1" t="s">
        <v>261</v>
      </c>
      <c r="D240" s="1">
        <v>160</v>
      </c>
      <c r="E240" s="1">
        <v>160</v>
      </c>
      <c r="F240" s="24">
        <f t="shared" si="5"/>
        <v>26.704052339942582</v>
      </c>
    </row>
    <row r="241" spans="2:6" x14ac:dyDescent="0.25">
      <c r="B241" s="1" t="s">
        <v>275</v>
      </c>
      <c r="C241" s="1" t="s">
        <v>26</v>
      </c>
      <c r="D241" s="1">
        <v>82</v>
      </c>
      <c r="E241" s="1">
        <v>123</v>
      </c>
      <c r="F241" s="24">
        <f t="shared" si="5"/>
        <v>20.528740236330865</v>
      </c>
    </row>
    <row r="242" spans="2:6" x14ac:dyDescent="0.25">
      <c r="B242" s="1" t="s">
        <v>326</v>
      </c>
      <c r="C242" s="1" t="s">
        <v>26</v>
      </c>
      <c r="D242" s="1">
        <v>12</v>
      </c>
      <c r="E242" s="1">
        <v>18</v>
      </c>
      <c r="F242" s="24">
        <f t="shared" si="5"/>
        <v>3.0042058882435412</v>
      </c>
    </row>
    <row r="243" spans="2:6" x14ac:dyDescent="0.25">
      <c r="B243" s="1" t="s">
        <v>343</v>
      </c>
      <c r="C243" s="1" t="s">
        <v>256</v>
      </c>
      <c r="D243" s="1">
        <v>2</v>
      </c>
      <c r="E243" s="1">
        <v>160</v>
      </c>
      <c r="F243" s="24">
        <f t="shared" si="5"/>
        <v>26.704052339942582</v>
      </c>
    </row>
    <row r="244" spans="2:6" x14ac:dyDescent="0.25">
      <c r="B244" s="1"/>
      <c r="C244" s="1"/>
      <c r="D244" s="1"/>
      <c r="E244" s="1"/>
      <c r="F244" s="24">
        <f t="shared" si="5"/>
        <v>0</v>
      </c>
    </row>
    <row r="245" spans="2:6" x14ac:dyDescent="0.25">
      <c r="B245" s="1"/>
      <c r="C245" s="1"/>
      <c r="D245" s="1"/>
      <c r="E245" s="1"/>
      <c r="F245" s="24">
        <f t="shared" si="5"/>
        <v>0</v>
      </c>
    </row>
    <row r="246" spans="2:6" x14ac:dyDescent="0.25">
      <c r="B246" s="10" t="s">
        <v>20</v>
      </c>
      <c r="C246" s="1"/>
      <c r="D246" s="1"/>
      <c r="E246" s="4">
        <f>SUM(E233:E245)</f>
        <v>934.6</v>
      </c>
      <c r="F246" s="22">
        <f>SUM(F233:F245)</f>
        <v>155.98504573068962</v>
      </c>
    </row>
    <row r="247" spans="2:6" x14ac:dyDescent="0.25">
      <c r="B247" s="4" t="s">
        <v>22</v>
      </c>
      <c r="C247" s="6"/>
      <c r="D247" s="6"/>
      <c r="E247" s="6"/>
      <c r="F247" s="23">
        <f>F231+F246</f>
        <v>172.91504573068963</v>
      </c>
    </row>
    <row r="248" spans="2:6" x14ac:dyDescent="0.25">
      <c r="B248" s="7"/>
      <c r="C248" s="7"/>
      <c r="D248" s="7"/>
      <c r="E248" s="7"/>
      <c r="F248" s="7"/>
    </row>
    <row r="249" spans="2:6" x14ac:dyDescent="0.25">
      <c r="B249" s="13"/>
      <c r="C249" s="13"/>
      <c r="D249" s="13"/>
      <c r="E249" s="13"/>
      <c r="F249" s="13"/>
    </row>
    <row r="250" spans="2:6" x14ac:dyDescent="0.25">
      <c r="B250" s="13"/>
      <c r="C250" s="13"/>
      <c r="D250" s="13"/>
      <c r="E250" s="13"/>
      <c r="F250" s="13"/>
    </row>
    <row r="251" spans="2:6" x14ac:dyDescent="0.25">
      <c r="B251" s="39" t="s">
        <v>23</v>
      </c>
      <c r="C251" s="38"/>
      <c r="D251" s="38"/>
      <c r="E251" s="39" t="s">
        <v>24</v>
      </c>
      <c r="F251" s="38"/>
    </row>
    <row r="253" spans="2:6" ht="40.9" customHeight="1" x14ac:dyDescent="0.25">
      <c r="B253" s="37" t="s">
        <v>116</v>
      </c>
      <c r="C253" s="37"/>
      <c r="D253" s="37"/>
      <c r="E253" s="37"/>
      <c r="F253" s="37"/>
    </row>
    <row r="254" spans="2:6" ht="29.45" customHeight="1" x14ac:dyDescent="0.25">
      <c r="B254" s="37" t="s">
        <v>1</v>
      </c>
      <c r="C254" s="37"/>
      <c r="D254" s="37"/>
      <c r="E254" s="37"/>
      <c r="F254" s="37"/>
    </row>
    <row r="255" spans="2:6" x14ac:dyDescent="0.25">
      <c r="B255" s="14" t="s">
        <v>0</v>
      </c>
      <c r="C255" s="14"/>
      <c r="D255" s="14"/>
      <c r="E255" s="14"/>
      <c r="F255" s="14"/>
    </row>
    <row r="256" spans="2:6" x14ac:dyDescent="0.25">
      <c r="B256" s="12"/>
      <c r="C256" s="38" t="s">
        <v>25</v>
      </c>
      <c r="D256" s="38"/>
      <c r="E256" s="12">
        <v>373.8</v>
      </c>
      <c r="F256" s="12" t="s">
        <v>26</v>
      </c>
    </row>
    <row r="258" spans="2:6" ht="60" x14ac:dyDescent="0.25">
      <c r="B258" s="1" t="s">
        <v>2</v>
      </c>
      <c r="C258" s="1" t="s">
        <v>4</v>
      </c>
      <c r="D258" s="1" t="s">
        <v>3</v>
      </c>
      <c r="E258" s="1" t="s">
        <v>447</v>
      </c>
      <c r="F258" s="1" t="s">
        <v>5</v>
      </c>
    </row>
    <row r="259" spans="2:6" x14ac:dyDescent="0.25">
      <c r="B259" s="1"/>
      <c r="C259" s="1"/>
      <c r="D259" s="1"/>
      <c r="E259" s="1"/>
      <c r="F259" s="1"/>
    </row>
    <row r="260" spans="2:6" x14ac:dyDescent="0.25">
      <c r="B260" s="3" t="s">
        <v>6</v>
      </c>
      <c r="C260" s="1"/>
      <c r="D260" s="1"/>
      <c r="E260" s="1"/>
      <c r="F260" s="1"/>
    </row>
    <row r="261" spans="2:6" x14ac:dyDescent="0.25">
      <c r="B261" s="5" t="s">
        <v>7</v>
      </c>
      <c r="C261" s="1"/>
      <c r="D261" s="1"/>
      <c r="E261" s="1"/>
      <c r="F261" s="5">
        <v>2.0099999999999998</v>
      </c>
    </row>
    <row r="262" spans="2:6" x14ac:dyDescent="0.25">
      <c r="B262" s="5" t="s">
        <v>8</v>
      </c>
      <c r="C262" s="1"/>
      <c r="D262" s="1"/>
      <c r="E262" s="1"/>
      <c r="F262" s="5">
        <v>5.34</v>
      </c>
    </row>
    <row r="263" spans="2:6" ht="24.75" x14ac:dyDescent="0.25">
      <c r="B263" s="5" t="s">
        <v>11</v>
      </c>
      <c r="C263" s="1"/>
      <c r="D263" s="1"/>
      <c r="E263" s="1"/>
      <c r="F263" s="5">
        <v>0.55000000000000004</v>
      </c>
    </row>
    <row r="264" spans="2:6" ht="24.75" x14ac:dyDescent="0.25">
      <c r="B264" s="5" t="s">
        <v>12</v>
      </c>
      <c r="C264" s="1"/>
      <c r="D264" s="1"/>
      <c r="E264" s="1"/>
      <c r="F264" s="5">
        <v>0.53</v>
      </c>
    </row>
    <row r="265" spans="2:6" ht="24.75" x14ac:dyDescent="0.25">
      <c r="B265" s="5" t="s">
        <v>13</v>
      </c>
      <c r="C265" s="1"/>
      <c r="D265" s="1"/>
      <c r="E265" s="1"/>
      <c r="F265" s="5">
        <v>0.19</v>
      </c>
    </row>
    <row r="266" spans="2:6" ht="24.75" x14ac:dyDescent="0.25">
      <c r="B266" s="5" t="s">
        <v>14</v>
      </c>
      <c r="C266" s="1"/>
      <c r="D266" s="1"/>
      <c r="E266" s="1"/>
      <c r="F266" s="5">
        <v>1.25</v>
      </c>
    </row>
    <row r="267" spans="2:6" ht="24.75" x14ac:dyDescent="0.25">
      <c r="B267" s="5" t="s">
        <v>9</v>
      </c>
      <c r="C267" s="1"/>
      <c r="D267" s="1"/>
      <c r="E267" s="1"/>
      <c r="F267" s="5">
        <v>0.26</v>
      </c>
    </row>
    <row r="268" spans="2:6" ht="24.75" x14ac:dyDescent="0.25">
      <c r="B268" s="5" t="s">
        <v>15</v>
      </c>
      <c r="C268" s="1"/>
      <c r="D268" s="1"/>
      <c r="E268" s="1"/>
      <c r="F268" s="5">
        <v>0.27</v>
      </c>
    </row>
    <row r="269" spans="2:6" ht="24.75" x14ac:dyDescent="0.25">
      <c r="B269" s="5" t="s">
        <v>16</v>
      </c>
      <c r="C269" s="1"/>
      <c r="D269" s="1"/>
      <c r="E269" s="1"/>
      <c r="F269" s="5">
        <v>0.28999999999999998</v>
      </c>
    </row>
    <row r="270" spans="2:6" x14ac:dyDescent="0.25">
      <c r="B270" s="5" t="s">
        <v>17</v>
      </c>
      <c r="C270" s="1"/>
      <c r="D270" s="1"/>
      <c r="E270" s="1"/>
      <c r="F270" s="5">
        <v>0.32</v>
      </c>
    </row>
    <row r="271" spans="2:6" x14ac:dyDescent="0.25">
      <c r="B271" s="5" t="s">
        <v>18</v>
      </c>
      <c r="C271" s="1"/>
      <c r="D271" s="1"/>
      <c r="E271" s="1"/>
      <c r="F271" s="5">
        <v>1.97</v>
      </c>
    </row>
    <row r="272" spans="2:6" x14ac:dyDescent="0.25">
      <c r="B272" s="5" t="s">
        <v>19</v>
      </c>
      <c r="C272" s="1"/>
      <c r="D272" s="1"/>
      <c r="E272" s="1"/>
      <c r="F272" s="5">
        <v>3.95</v>
      </c>
    </row>
    <row r="273" spans="2:6" x14ac:dyDescent="0.25">
      <c r="B273" s="10" t="s">
        <v>20</v>
      </c>
      <c r="C273" s="1"/>
      <c r="D273" s="1"/>
      <c r="E273" s="1"/>
      <c r="F273" s="4">
        <f>SUM(F261:F272)</f>
        <v>16.93</v>
      </c>
    </row>
    <row r="274" spans="2:6" x14ac:dyDescent="0.25">
      <c r="B274" s="3" t="s">
        <v>21</v>
      </c>
      <c r="C274" s="1"/>
      <c r="D274" s="1"/>
      <c r="E274" s="1"/>
      <c r="F274" s="1"/>
    </row>
    <row r="275" spans="2:6" x14ac:dyDescent="0.25">
      <c r="B275" s="1" t="s">
        <v>317</v>
      </c>
      <c r="C275" s="1" t="s">
        <v>256</v>
      </c>
      <c r="D275" s="1">
        <v>1</v>
      </c>
      <c r="E275" s="1">
        <v>45</v>
      </c>
      <c r="F275" s="24">
        <f>E275/373.8*1000/12</f>
        <v>10.032102728731941</v>
      </c>
    </row>
    <row r="276" spans="2:6" x14ac:dyDescent="0.25">
      <c r="B276" s="1" t="s">
        <v>326</v>
      </c>
      <c r="C276" s="1" t="s">
        <v>26</v>
      </c>
      <c r="D276" s="1">
        <v>15</v>
      </c>
      <c r="E276" s="1">
        <v>22.5</v>
      </c>
      <c r="F276" s="24">
        <f t="shared" ref="F276:F287" si="6">E276/373.8*1000/12</f>
        <v>5.0160513643659703</v>
      </c>
    </row>
    <row r="277" spans="2:6" x14ac:dyDescent="0.25">
      <c r="B277" s="1" t="s">
        <v>327</v>
      </c>
      <c r="C277" s="1" t="s">
        <v>261</v>
      </c>
      <c r="D277" s="1">
        <v>141</v>
      </c>
      <c r="E277" s="1">
        <v>141</v>
      </c>
      <c r="F277" s="24">
        <f t="shared" si="6"/>
        <v>31.433921883360085</v>
      </c>
    </row>
    <row r="278" spans="2:6" x14ac:dyDescent="0.25">
      <c r="B278" s="1" t="s">
        <v>275</v>
      </c>
      <c r="C278" s="1" t="s">
        <v>26</v>
      </c>
      <c r="D278" s="1">
        <v>84</v>
      </c>
      <c r="E278" s="1">
        <v>126</v>
      </c>
      <c r="F278" s="24">
        <f t="shared" si="6"/>
        <v>28.089887640449437</v>
      </c>
    </row>
    <row r="279" spans="2:6" x14ac:dyDescent="0.25">
      <c r="B279" s="1" t="s">
        <v>318</v>
      </c>
      <c r="C279" s="1" t="s">
        <v>26</v>
      </c>
      <c r="D279" s="1">
        <v>571</v>
      </c>
      <c r="E279" s="1">
        <v>142.75</v>
      </c>
      <c r="F279" s="24">
        <f t="shared" si="6"/>
        <v>31.824059211699659</v>
      </c>
    </row>
    <row r="280" spans="2:6" x14ac:dyDescent="0.25">
      <c r="B280" s="1" t="s">
        <v>319</v>
      </c>
      <c r="C280" s="1" t="s">
        <v>261</v>
      </c>
      <c r="D280" s="1">
        <v>16</v>
      </c>
      <c r="E280" s="1">
        <v>20.8</v>
      </c>
      <c r="F280" s="24">
        <f t="shared" si="6"/>
        <v>4.6370608168360983</v>
      </c>
    </row>
    <row r="281" spans="2:6" x14ac:dyDescent="0.25">
      <c r="B281" s="1" t="s">
        <v>320</v>
      </c>
      <c r="C281" s="1" t="s">
        <v>261</v>
      </c>
      <c r="D281" s="1">
        <v>30</v>
      </c>
      <c r="E281" s="1">
        <v>57</v>
      </c>
      <c r="F281" s="24">
        <f t="shared" si="6"/>
        <v>12.70733012306046</v>
      </c>
    </row>
    <row r="282" spans="2:6" x14ac:dyDescent="0.25">
      <c r="B282" s="1" t="s">
        <v>325</v>
      </c>
      <c r="C282" s="1" t="s">
        <v>261</v>
      </c>
      <c r="D282" s="1">
        <v>24</v>
      </c>
      <c r="E282" s="1">
        <v>45.6</v>
      </c>
      <c r="F282" s="24">
        <f t="shared" si="6"/>
        <v>10.165864098448369</v>
      </c>
    </row>
    <row r="283" spans="2:6" x14ac:dyDescent="0.25">
      <c r="B283" s="1" t="s">
        <v>343</v>
      </c>
      <c r="C283" s="1" t="s">
        <v>256</v>
      </c>
      <c r="D283" s="1">
        <v>2</v>
      </c>
      <c r="E283" s="1">
        <v>100</v>
      </c>
      <c r="F283" s="24">
        <f t="shared" si="6"/>
        <v>22.293561619404315</v>
      </c>
    </row>
    <row r="284" spans="2:6" x14ac:dyDescent="0.25">
      <c r="B284" s="1" t="s">
        <v>322</v>
      </c>
      <c r="C284" s="1" t="s">
        <v>261</v>
      </c>
      <c r="D284" s="1">
        <v>120</v>
      </c>
      <c r="E284" s="1">
        <v>144</v>
      </c>
      <c r="F284" s="24">
        <f t="shared" si="6"/>
        <v>32.102728731942214</v>
      </c>
    </row>
    <row r="285" spans="2:6" x14ac:dyDescent="0.25">
      <c r="B285" s="1" t="s">
        <v>375</v>
      </c>
      <c r="C285" s="1" t="s">
        <v>261</v>
      </c>
      <c r="D285" s="1">
        <v>160</v>
      </c>
      <c r="E285" s="1">
        <v>160</v>
      </c>
      <c r="F285" s="24">
        <f t="shared" si="6"/>
        <v>35.669698591046902</v>
      </c>
    </row>
    <row r="286" spans="2:6" x14ac:dyDescent="0.25">
      <c r="B286" s="1"/>
      <c r="C286" s="1"/>
      <c r="D286" s="1"/>
      <c r="E286" s="1"/>
      <c r="F286" s="24">
        <f t="shared" si="6"/>
        <v>0</v>
      </c>
    </row>
    <row r="287" spans="2:6" x14ac:dyDescent="0.25">
      <c r="B287" s="1"/>
      <c r="C287" s="1"/>
      <c r="D287" s="1"/>
      <c r="E287" s="1"/>
      <c r="F287" s="24">
        <f t="shared" si="6"/>
        <v>0</v>
      </c>
    </row>
    <row r="288" spans="2:6" x14ac:dyDescent="0.25">
      <c r="B288" s="10" t="s">
        <v>20</v>
      </c>
      <c r="C288" s="1"/>
      <c r="D288" s="1"/>
      <c r="E288" s="4">
        <f>SUM(E275:E287)</f>
        <v>1004.65</v>
      </c>
      <c r="F288" s="22">
        <f>SUM(F275:F287)</f>
        <v>223.97226680934546</v>
      </c>
    </row>
    <row r="289" spans="2:6" x14ac:dyDescent="0.25">
      <c r="B289" s="4" t="s">
        <v>22</v>
      </c>
      <c r="C289" s="6"/>
      <c r="D289" s="6"/>
      <c r="E289" s="6"/>
      <c r="F289" s="23">
        <f>F273+F288</f>
        <v>240.90226680934546</v>
      </c>
    </row>
    <row r="290" spans="2:6" x14ac:dyDescent="0.25">
      <c r="B290" s="7"/>
      <c r="C290" s="7"/>
      <c r="D290" s="7"/>
      <c r="E290" s="7"/>
      <c r="F290" s="7"/>
    </row>
    <row r="291" spans="2:6" x14ac:dyDescent="0.25">
      <c r="B291" s="13"/>
      <c r="C291" s="13"/>
      <c r="D291" s="13"/>
      <c r="E291" s="13"/>
      <c r="F291" s="13"/>
    </row>
    <row r="292" spans="2:6" x14ac:dyDescent="0.25">
      <c r="B292" s="13"/>
      <c r="C292" s="13"/>
      <c r="D292" s="13"/>
      <c r="E292" s="13"/>
      <c r="F292" s="13"/>
    </row>
    <row r="293" spans="2:6" x14ac:dyDescent="0.25">
      <c r="B293" s="39" t="s">
        <v>23</v>
      </c>
      <c r="C293" s="38"/>
      <c r="D293" s="38"/>
      <c r="E293" s="39" t="s">
        <v>24</v>
      </c>
      <c r="F293" s="38"/>
    </row>
    <row r="295" spans="2:6" ht="40.15" customHeight="1" x14ac:dyDescent="0.25">
      <c r="B295" s="37" t="s">
        <v>117</v>
      </c>
      <c r="C295" s="37"/>
      <c r="D295" s="37"/>
      <c r="E295" s="37"/>
      <c r="F295" s="37"/>
    </row>
    <row r="296" spans="2:6" ht="36" customHeight="1" x14ac:dyDescent="0.25">
      <c r="B296" s="37" t="s">
        <v>1</v>
      </c>
      <c r="C296" s="37"/>
      <c r="D296" s="37"/>
      <c r="E296" s="37"/>
      <c r="F296" s="37"/>
    </row>
    <row r="297" spans="2:6" x14ac:dyDescent="0.25">
      <c r="B297" s="14" t="s">
        <v>0</v>
      </c>
      <c r="C297" s="14"/>
      <c r="D297" s="14"/>
      <c r="E297" s="14"/>
      <c r="F297" s="14"/>
    </row>
    <row r="298" spans="2:6" x14ac:dyDescent="0.25">
      <c r="B298" s="12"/>
      <c r="C298" s="38" t="s">
        <v>25</v>
      </c>
      <c r="D298" s="38"/>
      <c r="E298" s="12">
        <v>1190</v>
      </c>
      <c r="F298" s="12" t="s">
        <v>26</v>
      </c>
    </row>
    <row r="300" spans="2:6" ht="60" x14ac:dyDescent="0.25">
      <c r="B300" s="1" t="s">
        <v>2</v>
      </c>
      <c r="C300" s="1" t="s">
        <v>4</v>
      </c>
      <c r="D300" s="1" t="s">
        <v>3</v>
      </c>
      <c r="E300" s="1" t="s">
        <v>447</v>
      </c>
      <c r="F300" s="1" t="s">
        <v>5</v>
      </c>
    </row>
    <row r="301" spans="2:6" x14ac:dyDescent="0.25">
      <c r="B301" s="1"/>
      <c r="C301" s="1"/>
      <c r="D301" s="1"/>
      <c r="E301" s="1"/>
      <c r="F301" s="1"/>
    </row>
    <row r="302" spans="2:6" x14ac:dyDescent="0.25">
      <c r="B302" s="3" t="s">
        <v>6</v>
      </c>
      <c r="C302" s="1"/>
      <c r="D302" s="1"/>
      <c r="E302" s="1"/>
      <c r="F302" s="1"/>
    </row>
    <row r="303" spans="2:6" x14ac:dyDescent="0.25">
      <c r="B303" s="5" t="s">
        <v>7</v>
      </c>
      <c r="C303" s="1"/>
      <c r="D303" s="1"/>
      <c r="E303" s="1"/>
      <c r="F303" s="5">
        <v>2.0099999999999998</v>
      </c>
    </row>
    <row r="304" spans="2:6" x14ac:dyDescent="0.25">
      <c r="B304" s="5" t="s">
        <v>8</v>
      </c>
      <c r="C304" s="1"/>
      <c r="D304" s="1"/>
      <c r="E304" s="1"/>
      <c r="F304" s="5">
        <v>5.34</v>
      </c>
    </row>
    <row r="305" spans="2:6" ht="24.75" x14ac:dyDescent="0.25">
      <c r="B305" s="5" t="s">
        <v>11</v>
      </c>
      <c r="C305" s="1"/>
      <c r="D305" s="1"/>
      <c r="E305" s="1"/>
      <c r="F305" s="5">
        <v>0.55000000000000004</v>
      </c>
    </row>
    <row r="306" spans="2:6" ht="24.75" x14ac:dyDescent="0.25">
      <c r="B306" s="5" t="s">
        <v>12</v>
      </c>
      <c r="C306" s="1"/>
      <c r="D306" s="1"/>
      <c r="E306" s="1"/>
      <c r="F306" s="5">
        <v>0.53</v>
      </c>
    </row>
    <row r="307" spans="2:6" ht="24.75" x14ac:dyDescent="0.25">
      <c r="B307" s="5" t="s">
        <v>13</v>
      </c>
      <c r="C307" s="1"/>
      <c r="D307" s="1"/>
      <c r="E307" s="1"/>
      <c r="F307" s="5">
        <v>0.19</v>
      </c>
    </row>
    <row r="308" spans="2:6" ht="24.75" x14ac:dyDescent="0.25">
      <c r="B308" s="5" t="s">
        <v>14</v>
      </c>
      <c r="C308" s="1"/>
      <c r="D308" s="1"/>
      <c r="E308" s="1"/>
      <c r="F308" s="5">
        <v>1.25</v>
      </c>
    </row>
    <row r="309" spans="2:6" ht="24.75" x14ac:dyDescent="0.25">
      <c r="B309" s="5" t="s">
        <v>9</v>
      </c>
      <c r="C309" s="1"/>
      <c r="D309" s="1"/>
      <c r="E309" s="1"/>
      <c r="F309" s="5">
        <v>0.26</v>
      </c>
    </row>
    <row r="310" spans="2:6" ht="24.75" x14ac:dyDescent="0.25">
      <c r="B310" s="5" t="s">
        <v>15</v>
      </c>
      <c r="C310" s="1"/>
      <c r="D310" s="1"/>
      <c r="E310" s="1"/>
      <c r="F310" s="5">
        <v>0.27</v>
      </c>
    </row>
    <row r="311" spans="2:6" ht="24.75" x14ac:dyDescent="0.25">
      <c r="B311" s="5" t="s">
        <v>16</v>
      </c>
      <c r="C311" s="1"/>
      <c r="D311" s="1"/>
      <c r="E311" s="1"/>
      <c r="F311" s="5">
        <v>0.28999999999999998</v>
      </c>
    </row>
    <row r="312" spans="2:6" x14ac:dyDescent="0.25">
      <c r="B312" s="5" t="s">
        <v>17</v>
      </c>
      <c r="C312" s="1"/>
      <c r="D312" s="1"/>
      <c r="E312" s="1"/>
      <c r="F312" s="5">
        <v>0.32</v>
      </c>
    </row>
    <row r="313" spans="2:6" x14ac:dyDescent="0.25">
      <c r="B313" s="5" t="s">
        <v>18</v>
      </c>
      <c r="C313" s="1"/>
      <c r="D313" s="1"/>
      <c r="E313" s="1"/>
      <c r="F313" s="5">
        <v>1.97</v>
      </c>
    </row>
    <row r="314" spans="2:6" x14ac:dyDescent="0.25">
      <c r="B314" s="5" t="s">
        <v>19</v>
      </c>
      <c r="C314" s="1"/>
      <c r="D314" s="1"/>
      <c r="E314" s="1"/>
      <c r="F314" s="5">
        <v>3.95</v>
      </c>
    </row>
    <row r="315" spans="2:6" x14ac:dyDescent="0.25">
      <c r="B315" s="10" t="s">
        <v>20</v>
      </c>
      <c r="C315" s="1"/>
      <c r="D315" s="1"/>
      <c r="E315" s="1"/>
      <c r="F315" s="4">
        <f>SUM(F303:F314)</f>
        <v>16.93</v>
      </c>
    </row>
    <row r="316" spans="2:6" x14ac:dyDescent="0.25">
      <c r="B316" s="3" t="s">
        <v>21</v>
      </c>
      <c r="C316" s="1"/>
      <c r="D316" s="1"/>
      <c r="E316" s="1"/>
      <c r="F316" s="1"/>
    </row>
    <row r="317" spans="2:6" x14ac:dyDescent="0.25">
      <c r="B317" s="1" t="s">
        <v>317</v>
      </c>
      <c r="C317" s="1" t="s">
        <v>256</v>
      </c>
      <c r="D317" s="1">
        <v>1</v>
      </c>
      <c r="E317" s="1">
        <v>45</v>
      </c>
      <c r="F317" s="24">
        <f>E317/1190*1000/12</f>
        <v>3.1512605042016806</v>
      </c>
    </row>
    <row r="318" spans="2:6" x14ac:dyDescent="0.25">
      <c r="B318" s="1" t="s">
        <v>326</v>
      </c>
      <c r="C318" s="1" t="s">
        <v>26</v>
      </c>
      <c r="D318" s="1">
        <v>50</v>
      </c>
      <c r="E318" s="1">
        <v>75</v>
      </c>
      <c r="F318" s="24">
        <f t="shared" ref="F318:F329" si="7">E318/1190*1000/12</f>
        <v>5.2521008403361344</v>
      </c>
    </row>
    <row r="319" spans="2:6" x14ac:dyDescent="0.25">
      <c r="B319" s="1" t="s">
        <v>275</v>
      </c>
      <c r="C319" s="1" t="s">
        <v>26</v>
      </c>
      <c r="D319" s="1">
        <v>100</v>
      </c>
      <c r="E319" s="1">
        <v>150</v>
      </c>
      <c r="F319" s="24">
        <f t="shared" si="7"/>
        <v>10.504201680672269</v>
      </c>
    </row>
    <row r="320" spans="2:6" x14ac:dyDescent="0.25">
      <c r="B320" s="1" t="s">
        <v>390</v>
      </c>
      <c r="C320" s="1" t="s">
        <v>261</v>
      </c>
      <c r="D320" s="1">
        <v>10</v>
      </c>
      <c r="E320" s="1">
        <v>13</v>
      </c>
      <c r="F320" s="24">
        <f t="shared" si="7"/>
        <v>0.91036414565826318</v>
      </c>
    </row>
    <row r="321" spans="2:6" x14ac:dyDescent="0.25">
      <c r="B321" s="1" t="s">
        <v>319</v>
      </c>
      <c r="C321" s="1" t="s">
        <v>261</v>
      </c>
      <c r="D321" s="1">
        <v>64</v>
      </c>
      <c r="E321" s="1">
        <v>83.2</v>
      </c>
      <c r="F321" s="24">
        <f t="shared" si="7"/>
        <v>5.8263305322128849</v>
      </c>
    </row>
    <row r="322" spans="2:6" x14ac:dyDescent="0.25">
      <c r="B322" s="1" t="s">
        <v>320</v>
      </c>
      <c r="C322" s="1" t="s">
        <v>261</v>
      </c>
      <c r="D322" s="1">
        <v>60</v>
      </c>
      <c r="E322" s="1">
        <v>114</v>
      </c>
      <c r="F322" s="24">
        <f t="shared" si="7"/>
        <v>7.9831932773109244</v>
      </c>
    </row>
    <row r="323" spans="2:6" x14ac:dyDescent="0.25">
      <c r="B323" s="1" t="s">
        <v>325</v>
      </c>
      <c r="C323" s="1" t="s">
        <v>261</v>
      </c>
      <c r="D323" s="1">
        <v>50</v>
      </c>
      <c r="E323" s="1">
        <v>95</v>
      </c>
      <c r="F323" s="24">
        <f t="shared" si="7"/>
        <v>6.6526610644257707</v>
      </c>
    </row>
    <row r="324" spans="2:6" x14ac:dyDescent="0.25">
      <c r="B324" s="1" t="s">
        <v>343</v>
      </c>
      <c r="C324" s="1" t="s">
        <v>256</v>
      </c>
      <c r="D324" s="1">
        <v>3</v>
      </c>
      <c r="E324" s="1">
        <v>150</v>
      </c>
      <c r="F324" s="24">
        <f t="shared" si="7"/>
        <v>10.504201680672269</v>
      </c>
    </row>
    <row r="325" spans="2:6" x14ac:dyDescent="0.25">
      <c r="B325" s="1" t="s">
        <v>352</v>
      </c>
      <c r="C325" s="1" t="s">
        <v>261</v>
      </c>
      <c r="D325" s="1">
        <v>130</v>
      </c>
      <c r="E325" s="1">
        <v>110.5</v>
      </c>
      <c r="F325" s="24">
        <f t="shared" si="7"/>
        <v>7.7380952380952381</v>
      </c>
    </row>
    <row r="326" spans="2:6" x14ac:dyDescent="0.25">
      <c r="B326" s="1" t="s">
        <v>322</v>
      </c>
      <c r="C326" s="1" t="s">
        <v>261</v>
      </c>
      <c r="D326" s="1">
        <v>150</v>
      </c>
      <c r="E326" s="1">
        <v>180</v>
      </c>
      <c r="F326" s="24">
        <f t="shared" si="7"/>
        <v>12.605042016806722</v>
      </c>
    </row>
    <row r="327" spans="2:6" x14ac:dyDescent="0.25">
      <c r="B327" s="1" t="s">
        <v>425</v>
      </c>
      <c r="C327" s="1" t="s">
        <v>261</v>
      </c>
      <c r="D327" s="1">
        <v>22</v>
      </c>
      <c r="E327" s="1">
        <v>22</v>
      </c>
      <c r="F327" s="24">
        <f t="shared" si="7"/>
        <v>1.5406162464985995</v>
      </c>
    </row>
    <row r="328" spans="2:6" x14ac:dyDescent="0.25">
      <c r="B328" s="1"/>
      <c r="C328" s="1"/>
      <c r="D328" s="1"/>
      <c r="E328" s="1"/>
      <c r="F328" s="24">
        <f t="shared" si="7"/>
        <v>0</v>
      </c>
    </row>
    <row r="329" spans="2:6" x14ac:dyDescent="0.25">
      <c r="B329" s="1"/>
      <c r="C329" s="1"/>
      <c r="D329" s="1"/>
      <c r="E329" s="1"/>
      <c r="F329" s="24">
        <f t="shared" si="7"/>
        <v>0</v>
      </c>
    </row>
    <row r="330" spans="2:6" x14ac:dyDescent="0.25">
      <c r="B330" s="10" t="s">
        <v>20</v>
      </c>
      <c r="C330" s="1"/>
      <c r="D330" s="1"/>
      <c r="E330" s="4">
        <f>SUM(E317:E329)</f>
        <v>1037.7</v>
      </c>
      <c r="F330" s="22">
        <f>SUM(F317:F329)</f>
        <v>72.668067226890756</v>
      </c>
    </row>
    <row r="331" spans="2:6" x14ac:dyDescent="0.25">
      <c r="B331" s="4" t="s">
        <v>22</v>
      </c>
      <c r="C331" s="6"/>
      <c r="D331" s="6"/>
      <c r="E331" s="6"/>
      <c r="F331" s="23">
        <f>F315+F330</f>
        <v>89.598067226890748</v>
      </c>
    </row>
    <row r="332" spans="2:6" x14ac:dyDescent="0.25">
      <c r="B332" s="7"/>
      <c r="C332" s="7"/>
      <c r="D332" s="7"/>
      <c r="E332" s="7"/>
      <c r="F332" s="7"/>
    </row>
    <row r="333" spans="2:6" x14ac:dyDescent="0.25">
      <c r="B333" s="13"/>
      <c r="C333" s="13"/>
      <c r="D333" s="13"/>
      <c r="E333" s="13"/>
      <c r="F333" s="13"/>
    </row>
    <row r="334" spans="2:6" x14ac:dyDescent="0.25">
      <c r="B334" s="13"/>
      <c r="C334" s="13"/>
      <c r="D334" s="13"/>
      <c r="E334" s="13"/>
      <c r="F334" s="13"/>
    </row>
    <row r="335" spans="2:6" x14ac:dyDescent="0.25">
      <c r="B335" s="39" t="s">
        <v>23</v>
      </c>
      <c r="C335" s="38"/>
      <c r="D335" s="38"/>
      <c r="E335" s="39" t="s">
        <v>24</v>
      </c>
      <c r="F335" s="38"/>
    </row>
    <row r="337" spans="2:6" ht="37.15" customHeight="1" x14ac:dyDescent="0.25">
      <c r="B337" s="37" t="s">
        <v>118</v>
      </c>
      <c r="C337" s="37"/>
      <c r="D337" s="37"/>
      <c r="E337" s="37"/>
      <c r="F337" s="37"/>
    </row>
    <row r="338" spans="2:6" ht="34.15" customHeight="1" x14ac:dyDescent="0.25">
      <c r="B338" s="37" t="s">
        <v>1</v>
      </c>
      <c r="C338" s="37"/>
      <c r="D338" s="37"/>
      <c r="E338" s="37"/>
      <c r="F338" s="37"/>
    </row>
    <row r="339" spans="2:6" x14ac:dyDescent="0.25">
      <c r="B339" s="14" t="s">
        <v>0</v>
      </c>
      <c r="C339" s="14"/>
      <c r="D339" s="14"/>
      <c r="E339" s="14"/>
      <c r="F339" s="14"/>
    </row>
    <row r="340" spans="2:6" x14ac:dyDescent="0.25">
      <c r="B340" s="12"/>
      <c r="C340" s="38" t="s">
        <v>25</v>
      </c>
      <c r="D340" s="38"/>
      <c r="E340" s="12">
        <v>380.6</v>
      </c>
      <c r="F340" s="12" t="s">
        <v>26</v>
      </c>
    </row>
    <row r="342" spans="2:6" ht="60" x14ac:dyDescent="0.25">
      <c r="B342" s="1" t="s">
        <v>2</v>
      </c>
      <c r="C342" s="1" t="s">
        <v>4</v>
      </c>
      <c r="D342" s="1" t="s">
        <v>3</v>
      </c>
      <c r="E342" s="1" t="s">
        <v>447</v>
      </c>
      <c r="F342" s="1" t="s">
        <v>5</v>
      </c>
    </row>
    <row r="343" spans="2:6" x14ac:dyDescent="0.25">
      <c r="B343" s="1"/>
      <c r="C343" s="1"/>
      <c r="D343" s="1"/>
      <c r="E343" s="1"/>
      <c r="F343" s="1"/>
    </row>
    <row r="344" spans="2:6" x14ac:dyDescent="0.25">
      <c r="B344" s="3" t="s">
        <v>6</v>
      </c>
      <c r="C344" s="1"/>
      <c r="D344" s="1"/>
      <c r="E344" s="1"/>
      <c r="F344" s="1"/>
    </row>
    <row r="345" spans="2:6" x14ac:dyDescent="0.25">
      <c r="B345" s="5" t="s">
        <v>7</v>
      </c>
      <c r="C345" s="1"/>
      <c r="D345" s="1"/>
      <c r="E345" s="1"/>
      <c r="F345" s="5">
        <v>2.0099999999999998</v>
      </c>
    </row>
    <row r="346" spans="2:6" x14ac:dyDescent="0.25">
      <c r="B346" s="5" t="s">
        <v>8</v>
      </c>
      <c r="C346" s="1"/>
      <c r="D346" s="1"/>
      <c r="E346" s="1"/>
      <c r="F346" s="5">
        <v>5.34</v>
      </c>
    </row>
    <row r="347" spans="2:6" ht="24.75" x14ac:dyDescent="0.25">
      <c r="B347" s="5" t="s">
        <v>11</v>
      </c>
      <c r="C347" s="1"/>
      <c r="D347" s="1"/>
      <c r="E347" s="1"/>
      <c r="F347" s="5">
        <v>0.55000000000000004</v>
      </c>
    </row>
    <row r="348" spans="2:6" ht="24.75" x14ac:dyDescent="0.25">
      <c r="B348" s="5" t="s">
        <v>12</v>
      </c>
      <c r="C348" s="1"/>
      <c r="D348" s="1"/>
      <c r="E348" s="1"/>
      <c r="F348" s="5">
        <v>0.53</v>
      </c>
    </row>
    <row r="349" spans="2:6" ht="24.75" x14ac:dyDescent="0.25">
      <c r="B349" s="5" t="s">
        <v>13</v>
      </c>
      <c r="C349" s="1"/>
      <c r="D349" s="1"/>
      <c r="E349" s="1"/>
      <c r="F349" s="5">
        <v>0.19</v>
      </c>
    </row>
    <row r="350" spans="2:6" ht="24.75" x14ac:dyDescent="0.25">
      <c r="B350" s="5" t="s">
        <v>14</v>
      </c>
      <c r="C350" s="1"/>
      <c r="D350" s="1"/>
      <c r="E350" s="1"/>
      <c r="F350" s="5">
        <v>1.25</v>
      </c>
    </row>
    <row r="351" spans="2:6" ht="24.75" x14ac:dyDescent="0.25">
      <c r="B351" s="5" t="s">
        <v>9</v>
      </c>
      <c r="C351" s="1"/>
      <c r="D351" s="1"/>
      <c r="E351" s="1"/>
      <c r="F351" s="5">
        <v>0.26</v>
      </c>
    </row>
    <row r="352" spans="2:6" ht="24.75" x14ac:dyDescent="0.25">
      <c r="B352" s="5" t="s">
        <v>15</v>
      </c>
      <c r="C352" s="1"/>
      <c r="D352" s="1"/>
      <c r="E352" s="1"/>
      <c r="F352" s="5">
        <v>0.27</v>
      </c>
    </row>
    <row r="353" spans="2:6" ht="24.75" x14ac:dyDescent="0.25">
      <c r="B353" s="5" t="s">
        <v>16</v>
      </c>
      <c r="C353" s="1"/>
      <c r="D353" s="1"/>
      <c r="E353" s="1"/>
      <c r="F353" s="5">
        <v>0.28999999999999998</v>
      </c>
    </row>
    <row r="354" spans="2:6" x14ac:dyDescent="0.25">
      <c r="B354" s="5" t="s">
        <v>17</v>
      </c>
      <c r="C354" s="1"/>
      <c r="D354" s="1"/>
      <c r="E354" s="1"/>
      <c r="F354" s="5">
        <v>0.32</v>
      </c>
    </row>
    <row r="355" spans="2:6" x14ac:dyDescent="0.25">
      <c r="B355" s="5" t="s">
        <v>18</v>
      </c>
      <c r="C355" s="1"/>
      <c r="D355" s="1"/>
      <c r="E355" s="1"/>
      <c r="F355" s="5">
        <v>1.97</v>
      </c>
    </row>
    <row r="356" spans="2:6" x14ac:dyDescent="0.25">
      <c r="B356" s="5" t="s">
        <v>19</v>
      </c>
      <c r="C356" s="1"/>
      <c r="D356" s="1"/>
      <c r="E356" s="1"/>
      <c r="F356" s="5">
        <v>3.95</v>
      </c>
    </row>
    <row r="357" spans="2:6" x14ac:dyDescent="0.25">
      <c r="B357" s="10" t="s">
        <v>20</v>
      </c>
      <c r="C357" s="1"/>
      <c r="D357" s="1"/>
      <c r="E357" s="1"/>
      <c r="F357" s="4">
        <f>SUM(F345:F356)</f>
        <v>16.93</v>
      </c>
    </row>
    <row r="358" spans="2:6" x14ac:dyDescent="0.25">
      <c r="B358" s="3" t="s">
        <v>21</v>
      </c>
      <c r="C358" s="1"/>
      <c r="D358" s="1"/>
      <c r="E358" s="1"/>
      <c r="F358" s="1"/>
    </row>
    <row r="359" spans="2:6" x14ac:dyDescent="0.25">
      <c r="B359" s="1" t="s">
        <v>275</v>
      </c>
      <c r="C359" s="1" t="s">
        <v>26</v>
      </c>
      <c r="D359" s="1">
        <v>77</v>
      </c>
      <c r="E359" s="1">
        <v>115.5</v>
      </c>
      <c r="F359" s="24">
        <f>E359/380.6*1000/12</f>
        <v>25.289017341040463</v>
      </c>
    </row>
    <row r="360" spans="2:6" x14ac:dyDescent="0.25">
      <c r="B360" s="1" t="s">
        <v>326</v>
      </c>
      <c r="C360" s="1" t="s">
        <v>26</v>
      </c>
      <c r="D360" s="1">
        <v>20</v>
      </c>
      <c r="E360" s="1">
        <v>30</v>
      </c>
      <c r="F360" s="24">
        <f t="shared" ref="F360:F371" si="8">E360/380.6*1000/12</f>
        <v>6.5685759327377822</v>
      </c>
    </row>
    <row r="361" spans="2:6" x14ac:dyDescent="0.25">
      <c r="B361" s="1" t="s">
        <v>327</v>
      </c>
      <c r="C361" s="1" t="s">
        <v>261</v>
      </c>
      <c r="D361" s="1">
        <v>132</v>
      </c>
      <c r="E361" s="1">
        <v>132</v>
      </c>
      <c r="F361" s="24">
        <f t="shared" si="8"/>
        <v>28.901734104046241</v>
      </c>
    </row>
    <row r="362" spans="2:6" ht="30" x14ac:dyDescent="0.25">
      <c r="B362" s="1" t="s">
        <v>414</v>
      </c>
      <c r="C362" s="1" t="s">
        <v>265</v>
      </c>
      <c r="D362" s="1">
        <v>2</v>
      </c>
      <c r="E362" s="1">
        <v>20</v>
      </c>
      <c r="F362" s="24">
        <f t="shared" si="8"/>
        <v>4.3790506218251881</v>
      </c>
    </row>
    <row r="363" spans="2:6" x14ac:dyDescent="0.25">
      <c r="B363" s="1" t="s">
        <v>318</v>
      </c>
      <c r="C363" s="1" t="s">
        <v>26</v>
      </c>
      <c r="D363" s="1">
        <v>574</v>
      </c>
      <c r="E363" s="1">
        <v>459.2</v>
      </c>
      <c r="F363" s="24">
        <f t="shared" si="8"/>
        <v>100.54300227710631</v>
      </c>
    </row>
    <row r="364" spans="2:6" x14ac:dyDescent="0.25">
      <c r="B364" s="1" t="s">
        <v>390</v>
      </c>
      <c r="C364" s="1" t="s">
        <v>261</v>
      </c>
      <c r="D364" s="1">
        <v>38</v>
      </c>
      <c r="E364" s="1">
        <v>49.4</v>
      </c>
      <c r="F364" s="24">
        <f t="shared" si="8"/>
        <v>10.816255035908213</v>
      </c>
    </row>
    <row r="365" spans="2:6" x14ac:dyDescent="0.25">
      <c r="B365" s="1" t="s">
        <v>396</v>
      </c>
      <c r="C365" s="1" t="s">
        <v>261</v>
      </c>
      <c r="D365" s="1">
        <v>20</v>
      </c>
      <c r="E365" s="1">
        <v>26</v>
      </c>
      <c r="F365" s="24">
        <f t="shared" si="8"/>
        <v>5.6927658083727453</v>
      </c>
    </row>
    <row r="366" spans="2:6" x14ac:dyDescent="0.25">
      <c r="B366" s="1" t="s">
        <v>342</v>
      </c>
      <c r="C366" s="1" t="s">
        <v>265</v>
      </c>
      <c r="D366" s="1">
        <v>1</v>
      </c>
      <c r="E366" s="1">
        <v>14</v>
      </c>
      <c r="F366" s="24">
        <f t="shared" si="8"/>
        <v>3.0653354352776319</v>
      </c>
    </row>
    <row r="367" spans="2:6" x14ac:dyDescent="0.25">
      <c r="B367" s="1" t="s">
        <v>320</v>
      </c>
      <c r="C367" s="1" t="s">
        <v>261</v>
      </c>
      <c r="D367" s="1">
        <v>30</v>
      </c>
      <c r="E367" s="1">
        <v>57</v>
      </c>
      <c r="F367" s="24">
        <f t="shared" si="8"/>
        <v>12.480294272201784</v>
      </c>
    </row>
    <row r="368" spans="2:6" x14ac:dyDescent="0.25">
      <c r="B368" s="1" t="s">
        <v>325</v>
      </c>
      <c r="C368" s="1" t="s">
        <v>261</v>
      </c>
      <c r="D368" s="1">
        <v>26</v>
      </c>
      <c r="E368" s="1">
        <v>49.4</v>
      </c>
      <c r="F368" s="24">
        <f t="shared" si="8"/>
        <v>10.816255035908213</v>
      </c>
    </row>
    <row r="369" spans="2:6" x14ac:dyDescent="0.25">
      <c r="B369" s="1" t="s">
        <v>321</v>
      </c>
      <c r="C369" s="1" t="s">
        <v>256</v>
      </c>
      <c r="D369" s="1">
        <v>2</v>
      </c>
      <c r="E369" s="1">
        <v>100</v>
      </c>
      <c r="F369" s="24">
        <f t="shared" si="8"/>
        <v>21.895253109125935</v>
      </c>
    </row>
    <row r="370" spans="2:6" x14ac:dyDescent="0.25">
      <c r="B370" s="1" t="s">
        <v>322</v>
      </c>
      <c r="C370" s="1" t="s">
        <v>261</v>
      </c>
      <c r="D370" s="1">
        <v>120</v>
      </c>
      <c r="E370" s="1">
        <v>144</v>
      </c>
      <c r="F370" s="24">
        <f t="shared" si="8"/>
        <v>31.529164477141354</v>
      </c>
    </row>
    <row r="371" spans="2:6" x14ac:dyDescent="0.25">
      <c r="B371" s="1" t="s">
        <v>323</v>
      </c>
      <c r="C371" s="1" t="s">
        <v>261</v>
      </c>
      <c r="D371" s="1">
        <v>160</v>
      </c>
      <c r="E371" s="1">
        <v>160</v>
      </c>
      <c r="F371" s="24">
        <f t="shared" si="8"/>
        <v>35.032404974601505</v>
      </c>
    </row>
    <row r="372" spans="2:6" x14ac:dyDescent="0.25">
      <c r="B372" s="10" t="s">
        <v>20</v>
      </c>
      <c r="C372" s="1"/>
      <c r="D372" s="1"/>
      <c r="E372" s="4">
        <f>SUM(E359:E371)</f>
        <v>1356.5</v>
      </c>
      <c r="F372" s="22">
        <f>SUM(F359:F371)</f>
        <v>297.00910842529333</v>
      </c>
    </row>
    <row r="373" spans="2:6" x14ac:dyDescent="0.25">
      <c r="B373" s="4" t="s">
        <v>22</v>
      </c>
      <c r="C373" s="6"/>
      <c r="D373" s="6"/>
      <c r="E373" s="6"/>
      <c r="F373" s="23">
        <f>F357+F372</f>
        <v>313.93910842529334</v>
      </c>
    </row>
    <row r="374" spans="2:6" x14ac:dyDescent="0.25">
      <c r="B374" s="7"/>
      <c r="C374" s="7"/>
      <c r="D374" s="7"/>
      <c r="E374" s="7"/>
      <c r="F374" s="7"/>
    </row>
    <row r="375" spans="2:6" x14ac:dyDescent="0.25">
      <c r="B375" s="13"/>
      <c r="C375" s="13"/>
      <c r="D375" s="13"/>
      <c r="E375" s="13"/>
      <c r="F375" s="13"/>
    </row>
    <row r="376" spans="2:6" x14ac:dyDescent="0.25">
      <c r="B376" s="13"/>
      <c r="C376" s="13"/>
      <c r="D376" s="13"/>
      <c r="E376" s="13"/>
      <c r="F376" s="13"/>
    </row>
    <row r="377" spans="2:6" x14ac:dyDescent="0.25">
      <c r="B377" s="39" t="s">
        <v>23</v>
      </c>
      <c r="C377" s="38"/>
      <c r="D377" s="38"/>
      <c r="E377" s="39" t="s">
        <v>24</v>
      </c>
      <c r="F377" s="38"/>
    </row>
    <row r="379" spans="2:6" ht="42.6" customHeight="1" x14ac:dyDescent="0.25">
      <c r="B379" s="37" t="s">
        <v>119</v>
      </c>
      <c r="C379" s="37"/>
      <c r="D379" s="37"/>
      <c r="E379" s="37"/>
      <c r="F379" s="37"/>
    </row>
    <row r="380" spans="2:6" ht="36.6" customHeight="1" x14ac:dyDescent="0.25">
      <c r="B380" s="37" t="s">
        <v>1</v>
      </c>
      <c r="C380" s="37"/>
      <c r="D380" s="37"/>
      <c r="E380" s="37"/>
      <c r="F380" s="37"/>
    </row>
    <row r="381" spans="2:6" x14ac:dyDescent="0.25">
      <c r="B381" s="14" t="s">
        <v>0</v>
      </c>
      <c r="C381" s="14"/>
      <c r="D381" s="14"/>
      <c r="E381" s="14"/>
      <c r="F381" s="14"/>
    </row>
    <row r="382" spans="2:6" x14ac:dyDescent="0.25">
      <c r="B382" s="12"/>
      <c r="C382" s="38" t="s">
        <v>25</v>
      </c>
      <c r="D382" s="38"/>
      <c r="E382" s="12">
        <v>384.1</v>
      </c>
      <c r="F382" s="12" t="s">
        <v>26</v>
      </c>
    </row>
    <row r="384" spans="2:6" ht="60" x14ac:dyDescent="0.25">
      <c r="B384" s="1" t="s">
        <v>2</v>
      </c>
      <c r="C384" s="1" t="s">
        <v>4</v>
      </c>
      <c r="D384" s="1" t="s">
        <v>3</v>
      </c>
      <c r="E384" s="1" t="s">
        <v>447</v>
      </c>
      <c r="F384" s="1" t="s">
        <v>5</v>
      </c>
    </row>
    <row r="385" spans="2:6" x14ac:dyDescent="0.25">
      <c r="B385" s="1"/>
      <c r="C385" s="1"/>
      <c r="D385" s="1"/>
      <c r="E385" s="1"/>
      <c r="F385" s="1"/>
    </row>
    <row r="386" spans="2:6" x14ac:dyDescent="0.25">
      <c r="B386" s="3" t="s">
        <v>6</v>
      </c>
      <c r="C386" s="1"/>
      <c r="D386" s="1"/>
      <c r="E386" s="1"/>
      <c r="F386" s="1"/>
    </row>
    <row r="387" spans="2:6" x14ac:dyDescent="0.25">
      <c r="B387" s="5" t="s">
        <v>7</v>
      </c>
      <c r="C387" s="1"/>
      <c r="D387" s="1"/>
      <c r="E387" s="1"/>
      <c r="F387" s="5">
        <v>2.0099999999999998</v>
      </c>
    </row>
    <row r="388" spans="2:6" x14ac:dyDescent="0.25">
      <c r="B388" s="5" t="s">
        <v>8</v>
      </c>
      <c r="C388" s="1"/>
      <c r="D388" s="1"/>
      <c r="E388" s="1"/>
      <c r="F388" s="5">
        <v>5.34</v>
      </c>
    </row>
    <row r="389" spans="2:6" ht="24.75" x14ac:dyDescent="0.25">
      <c r="B389" s="5" t="s">
        <v>11</v>
      </c>
      <c r="C389" s="1"/>
      <c r="D389" s="1"/>
      <c r="E389" s="1"/>
      <c r="F389" s="5">
        <v>0.55000000000000004</v>
      </c>
    </row>
    <row r="390" spans="2:6" ht="24.75" x14ac:dyDescent="0.25">
      <c r="B390" s="5" t="s">
        <v>12</v>
      </c>
      <c r="C390" s="1"/>
      <c r="D390" s="1"/>
      <c r="E390" s="1"/>
      <c r="F390" s="5">
        <v>0.53</v>
      </c>
    </row>
    <row r="391" spans="2:6" ht="24.75" x14ac:dyDescent="0.25">
      <c r="B391" s="5" t="s">
        <v>13</v>
      </c>
      <c r="C391" s="1"/>
      <c r="D391" s="1"/>
      <c r="E391" s="1"/>
      <c r="F391" s="5">
        <v>0.19</v>
      </c>
    </row>
    <row r="392" spans="2:6" ht="24.75" x14ac:dyDescent="0.25">
      <c r="B392" s="5" t="s">
        <v>14</v>
      </c>
      <c r="C392" s="1"/>
      <c r="D392" s="1"/>
      <c r="E392" s="1"/>
      <c r="F392" s="5">
        <v>1.25</v>
      </c>
    </row>
    <row r="393" spans="2:6" ht="24.75" x14ac:dyDescent="0.25">
      <c r="B393" s="5" t="s">
        <v>9</v>
      </c>
      <c r="C393" s="1"/>
      <c r="D393" s="1"/>
      <c r="E393" s="1"/>
      <c r="F393" s="5">
        <v>0.26</v>
      </c>
    </row>
    <row r="394" spans="2:6" ht="24.75" x14ac:dyDescent="0.25">
      <c r="B394" s="5" t="s">
        <v>15</v>
      </c>
      <c r="C394" s="1"/>
      <c r="D394" s="1"/>
      <c r="E394" s="1"/>
      <c r="F394" s="5">
        <v>0.27</v>
      </c>
    </row>
    <row r="395" spans="2:6" ht="24.75" x14ac:dyDescent="0.25">
      <c r="B395" s="5" t="s">
        <v>16</v>
      </c>
      <c r="C395" s="1"/>
      <c r="D395" s="1"/>
      <c r="E395" s="1"/>
      <c r="F395" s="5">
        <v>0.28999999999999998</v>
      </c>
    </row>
    <row r="396" spans="2:6" x14ac:dyDescent="0.25">
      <c r="B396" s="5" t="s">
        <v>17</v>
      </c>
      <c r="C396" s="1"/>
      <c r="D396" s="1"/>
      <c r="E396" s="1"/>
      <c r="F396" s="5">
        <v>0.32</v>
      </c>
    </row>
    <row r="397" spans="2:6" x14ac:dyDescent="0.25">
      <c r="B397" s="5" t="s">
        <v>18</v>
      </c>
      <c r="C397" s="1"/>
      <c r="D397" s="1"/>
      <c r="E397" s="1"/>
      <c r="F397" s="5">
        <v>1.97</v>
      </c>
    </row>
    <row r="398" spans="2:6" x14ac:dyDescent="0.25">
      <c r="B398" s="5" t="s">
        <v>19</v>
      </c>
      <c r="C398" s="1"/>
      <c r="D398" s="1"/>
      <c r="E398" s="1"/>
      <c r="F398" s="5">
        <v>3.95</v>
      </c>
    </row>
    <row r="399" spans="2:6" x14ac:dyDescent="0.25">
      <c r="B399" s="10" t="s">
        <v>20</v>
      </c>
      <c r="C399" s="1"/>
      <c r="D399" s="1"/>
      <c r="E399" s="1"/>
      <c r="F399" s="4">
        <f>SUM(F387:F398)</f>
        <v>16.93</v>
      </c>
    </row>
    <row r="400" spans="2:6" x14ac:dyDescent="0.25">
      <c r="B400" s="3" t="s">
        <v>21</v>
      </c>
      <c r="C400" s="1"/>
      <c r="D400" s="1"/>
      <c r="E400" s="1"/>
      <c r="F400" s="1"/>
    </row>
    <row r="401" spans="2:6" x14ac:dyDescent="0.25">
      <c r="B401" s="1" t="s">
        <v>326</v>
      </c>
      <c r="C401" s="1" t="s">
        <v>26</v>
      </c>
      <c r="D401" s="1">
        <v>10</v>
      </c>
      <c r="E401" s="1">
        <v>15</v>
      </c>
      <c r="F401" s="24">
        <f>E401/384.1*1000/12</f>
        <v>3.2543608435303302</v>
      </c>
    </row>
    <row r="402" spans="2:6" x14ac:dyDescent="0.25">
      <c r="B402" s="1" t="s">
        <v>327</v>
      </c>
      <c r="C402" s="1" t="s">
        <v>261</v>
      </c>
      <c r="D402" s="1">
        <v>83</v>
      </c>
      <c r="E402" s="1">
        <v>83</v>
      </c>
      <c r="F402" s="24">
        <f t="shared" ref="F402:F412" si="9">E402/384.1*1000/12</f>
        <v>18.007463334201162</v>
      </c>
    </row>
    <row r="403" spans="2:6" x14ac:dyDescent="0.25">
      <c r="B403" s="1" t="s">
        <v>275</v>
      </c>
      <c r="C403" s="1" t="s">
        <v>26</v>
      </c>
      <c r="D403" s="1">
        <v>65</v>
      </c>
      <c r="E403" s="1">
        <v>97.5</v>
      </c>
      <c r="F403" s="24">
        <f t="shared" si="9"/>
        <v>21.153345482947149</v>
      </c>
    </row>
    <row r="404" spans="2:6" x14ac:dyDescent="0.25">
      <c r="B404" s="1" t="s">
        <v>318</v>
      </c>
      <c r="C404" s="1" t="s">
        <v>26</v>
      </c>
      <c r="D404" s="1">
        <v>30</v>
      </c>
      <c r="E404" s="1">
        <v>18</v>
      </c>
      <c r="F404" s="24">
        <f t="shared" si="9"/>
        <v>3.9052330122363963</v>
      </c>
    </row>
    <row r="405" spans="2:6" x14ac:dyDescent="0.25">
      <c r="B405" s="1" t="s">
        <v>390</v>
      </c>
      <c r="C405" s="1" t="s">
        <v>261</v>
      </c>
      <c r="D405" s="1">
        <v>24</v>
      </c>
      <c r="E405" s="1">
        <v>31.2</v>
      </c>
      <c r="F405" s="24">
        <f t="shared" si="9"/>
        <v>6.7690705545430871</v>
      </c>
    </row>
    <row r="406" spans="2:6" x14ac:dyDescent="0.25">
      <c r="B406" s="1" t="s">
        <v>319</v>
      </c>
      <c r="C406" s="1" t="s">
        <v>261</v>
      </c>
      <c r="D406" s="1">
        <v>12</v>
      </c>
      <c r="E406" s="1">
        <v>15.6</v>
      </c>
      <c r="F406" s="24">
        <f t="shared" si="9"/>
        <v>3.3845352772715436</v>
      </c>
    </row>
    <row r="407" spans="2:6" x14ac:dyDescent="0.25">
      <c r="B407" s="1" t="s">
        <v>320</v>
      </c>
      <c r="C407" s="1" t="s">
        <v>261</v>
      </c>
      <c r="D407" s="1">
        <v>18</v>
      </c>
      <c r="E407" s="1">
        <v>34.200000000000003</v>
      </c>
      <c r="F407" s="24">
        <f t="shared" si="9"/>
        <v>7.4199427232491537</v>
      </c>
    </row>
    <row r="408" spans="2:6" x14ac:dyDescent="0.25">
      <c r="B408" s="1" t="s">
        <v>325</v>
      </c>
      <c r="C408" s="1" t="s">
        <v>261</v>
      </c>
      <c r="D408" s="1">
        <v>15</v>
      </c>
      <c r="E408" s="1">
        <v>28.5</v>
      </c>
      <c r="F408" s="24">
        <f t="shared" si="9"/>
        <v>6.1832856027076284</v>
      </c>
    </row>
    <row r="409" spans="2:6" x14ac:dyDescent="0.25">
      <c r="B409" s="1" t="s">
        <v>343</v>
      </c>
      <c r="C409" s="1" t="s">
        <v>256</v>
      </c>
      <c r="D409" s="1">
        <v>1</v>
      </c>
      <c r="E409" s="1">
        <v>50</v>
      </c>
      <c r="F409" s="24">
        <f t="shared" si="9"/>
        <v>10.847869478434434</v>
      </c>
    </row>
    <row r="410" spans="2:6" x14ac:dyDescent="0.25">
      <c r="B410" s="1" t="s">
        <v>322</v>
      </c>
      <c r="C410" s="1" t="s">
        <v>261</v>
      </c>
      <c r="D410" s="1">
        <v>130</v>
      </c>
      <c r="E410" s="1">
        <v>156</v>
      </c>
      <c r="F410" s="24">
        <f t="shared" si="9"/>
        <v>33.845352772715437</v>
      </c>
    </row>
    <row r="411" spans="2:6" x14ac:dyDescent="0.25">
      <c r="B411" s="1" t="s">
        <v>323</v>
      </c>
      <c r="C411" s="1" t="s">
        <v>261</v>
      </c>
      <c r="D411" s="1">
        <v>150</v>
      </c>
      <c r="E411" s="1">
        <v>150</v>
      </c>
      <c r="F411" s="24">
        <f t="shared" si="9"/>
        <v>32.543608435303305</v>
      </c>
    </row>
    <row r="412" spans="2:6" x14ac:dyDescent="0.25">
      <c r="B412" s="1"/>
      <c r="C412" s="1"/>
      <c r="D412" s="1"/>
      <c r="E412" s="1"/>
      <c r="F412" s="24">
        <f t="shared" si="9"/>
        <v>0</v>
      </c>
    </row>
    <row r="413" spans="2:6" x14ac:dyDescent="0.25">
      <c r="B413" s="10" t="s">
        <v>20</v>
      </c>
      <c r="C413" s="1"/>
      <c r="D413" s="1"/>
      <c r="E413" s="4">
        <f>SUM(E401:E412)</f>
        <v>679</v>
      </c>
      <c r="F413" s="22">
        <f>SUM(F401:F412)</f>
        <v>147.31406751713962</v>
      </c>
    </row>
    <row r="414" spans="2:6" x14ac:dyDescent="0.25">
      <c r="B414" s="4" t="s">
        <v>22</v>
      </c>
      <c r="C414" s="6"/>
      <c r="D414" s="6"/>
      <c r="E414" s="6"/>
      <c r="F414" s="23">
        <f>F399+F413</f>
        <v>164.24406751713963</v>
      </c>
    </row>
    <row r="415" spans="2:6" x14ac:dyDescent="0.25">
      <c r="B415" s="7"/>
      <c r="C415" s="7"/>
      <c r="D415" s="7"/>
      <c r="E415" s="7"/>
      <c r="F415" s="7"/>
    </row>
    <row r="416" spans="2:6" x14ac:dyDescent="0.25">
      <c r="B416" s="13"/>
      <c r="C416" s="13"/>
      <c r="D416" s="13"/>
      <c r="E416" s="13"/>
      <c r="F416" s="13"/>
    </row>
    <row r="417" spans="2:6" x14ac:dyDescent="0.25">
      <c r="B417" s="13"/>
      <c r="C417" s="13"/>
      <c r="D417" s="13"/>
      <c r="E417" s="13"/>
      <c r="F417" s="13"/>
    </row>
    <row r="418" spans="2:6" x14ac:dyDescent="0.25">
      <c r="B418" s="39" t="s">
        <v>23</v>
      </c>
      <c r="C418" s="38"/>
      <c r="D418" s="38"/>
      <c r="E418" s="39" t="s">
        <v>24</v>
      </c>
      <c r="F418" s="38"/>
    </row>
    <row r="420" spans="2:6" ht="39.6" customHeight="1" x14ac:dyDescent="0.25">
      <c r="B420" s="37" t="s">
        <v>120</v>
      </c>
      <c r="C420" s="37"/>
      <c r="D420" s="37"/>
      <c r="E420" s="37"/>
      <c r="F420" s="37"/>
    </row>
    <row r="421" spans="2:6" ht="31.15" customHeight="1" x14ac:dyDescent="0.25">
      <c r="B421" s="37" t="s">
        <v>1</v>
      </c>
      <c r="C421" s="37"/>
      <c r="D421" s="37"/>
      <c r="E421" s="37"/>
      <c r="F421" s="37"/>
    </row>
    <row r="422" spans="2:6" x14ac:dyDescent="0.25">
      <c r="B422" s="14" t="s">
        <v>0</v>
      </c>
      <c r="C422" s="14"/>
      <c r="D422" s="14"/>
      <c r="E422" s="14"/>
      <c r="F422" s="14"/>
    </row>
    <row r="423" spans="2:6" x14ac:dyDescent="0.25">
      <c r="B423" s="12"/>
      <c r="C423" s="38" t="s">
        <v>25</v>
      </c>
      <c r="D423" s="38"/>
      <c r="E423" s="12">
        <v>383.2</v>
      </c>
      <c r="F423" s="12" t="s">
        <v>26</v>
      </c>
    </row>
    <row r="425" spans="2:6" ht="60" x14ac:dyDescent="0.25">
      <c r="B425" s="1" t="s">
        <v>2</v>
      </c>
      <c r="C425" s="1" t="s">
        <v>4</v>
      </c>
      <c r="D425" s="1" t="s">
        <v>3</v>
      </c>
      <c r="E425" s="1" t="s">
        <v>447</v>
      </c>
      <c r="F425" s="1" t="s">
        <v>5</v>
      </c>
    </row>
    <row r="426" spans="2:6" x14ac:dyDescent="0.25">
      <c r="B426" s="1"/>
      <c r="C426" s="1"/>
      <c r="D426" s="1"/>
      <c r="E426" s="1"/>
      <c r="F426" s="1"/>
    </row>
    <row r="427" spans="2:6" x14ac:dyDescent="0.25">
      <c r="B427" s="3" t="s">
        <v>6</v>
      </c>
      <c r="C427" s="1"/>
      <c r="D427" s="1"/>
      <c r="E427" s="1"/>
      <c r="F427" s="1"/>
    </row>
    <row r="428" spans="2:6" x14ac:dyDescent="0.25">
      <c r="B428" s="5" t="s">
        <v>7</v>
      </c>
      <c r="C428" s="1"/>
      <c r="D428" s="1"/>
      <c r="E428" s="1"/>
      <c r="F428" s="5">
        <v>2.0099999999999998</v>
      </c>
    </row>
    <row r="429" spans="2:6" x14ac:dyDescent="0.25">
      <c r="B429" s="5" t="s">
        <v>8</v>
      </c>
      <c r="C429" s="1"/>
      <c r="D429" s="1"/>
      <c r="E429" s="1"/>
      <c r="F429" s="5">
        <v>5.34</v>
      </c>
    </row>
    <row r="430" spans="2:6" ht="24.75" x14ac:dyDescent="0.25">
      <c r="B430" s="5" t="s">
        <v>11</v>
      </c>
      <c r="C430" s="1"/>
      <c r="D430" s="1"/>
      <c r="E430" s="1"/>
      <c r="F430" s="5">
        <v>0.55000000000000004</v>
      </c>
    </row>
    <row r="431" spans="2:6" ht="24.75" x14ac:dyDescent="0.25">
      <c r="B431" s="5" t="s">
        <v>12</v>
      </c>
      <c r="C431" s="1"/>
      <c r="D431" s="1"/>
      <c r="E431" s="1"/>
      <c r="F431" s="5">
        <v>0.53</v>
      </c>
    </row>
    <row r="432" spans="2:6" ht="24.75" x14ac:dyDescent="0.25">
      <c r="B432" s="5" t="s">
        <v>13</v>
      </c>
      <c r="C432" s="1"/>
      <c r="D432" s="1"/>
      <c r="E432" s="1"/>
      <c r="F432" s="5">
        <v>0.19</v>
      </c>
    </row>
    <row r="433" spans="2:6" ht="24.75" x14ac:dyDescent="0.25">
      <c r="B433" s="5" t="s">
        <v>14</v>
      </c>
      <c r="C433" s="1"/>
      <c r="D433" s="1"/>
      <c r="E433" s="1"/>
      <c r="F433" s="5">
        <v>1.25</v>
      </c>
    </row>
    <row r="434" spans="2:6" ht="24.75" x14ac:dyDescent="0.25">
      <c r="B434" s="5" t="s">
        <v>9</v>
      </c>
      <c r="C434" s="1"/>
      <c r="D434" s="1"/>
      <c r="E434" s="1"/>
      <c r="F434" s="5">
        <v>0.26</v>
      </c>
    </row>
    <row r="435" spans="2:6" ht="24.75" x14ac:dyDescent="0.25">
      <c r="B435" s="5" t="s">
        <v>15</v>
      </c>
      <c r="C435" s="1"/>
      <c r="D435" s="1"/>
      <c r="E435" s="1"/>
      <c r="F435" s="5">
        <v>0.27</v>
      </c>
    </row>
    <row r="436" spans="2:6" ht="24.75" x14ac:dyDescent="0.25">
      <c r="B436" s="5" t="s">
        <v>16</v>
      </c>
      <c r="C436" s="1"/>
      <c r="D436" s="1"/>
      <c r="E436" s="1"/>
      <c r="F436" s="5">
        <v>0.28999999999999998</v>
      </c>
    </row>
    <row r="437" spans="2:6" x14ac:dyDescent="0.25">
      <c r="B437" s="5" t="s">
        <v>17</v>
      </c>
      <c r="C437" s="1"/>
      <c r="D437" s="1"/>
      <c r="E437" s="1"/>
      <c r="F437" s="5">
        <v>0.32</v>
      </c>
    </row>
    <row r="438" spans="2:6" x14ac:dyDescent="0.25">
      <c r="B438" s="5" t="s">
        <v>18</v>
      </c>
      <c r="C438" s="1"/>
      <c r="D438" s="1"/>
      <c r="E438" s="1"/>
      <c r="F438" s="5">
        <v>1.97</v>
      </c>
    </row>
    <row r="439" spans="2:6" x14ac:dyDescent="0.25">
      <c r="B439" s="5" t="s">
        <v>19</v>
      </c>
      <c r="C439" s="1"/>
      <c r="D439" s="1"/>
      <c r="E439" s="1"/>
      <c r="F439" s="5">
        <v>3.95</v>
      </c>
    </row>
    <row r="440" spans="2:6" x14ac:dyDescent="0.25">
      <c r="B440" s="10" t="s">
        <v>20</v>
      </c>
      <c r="C440" s="1"/>
      <c r="D440" s="1"/>
      <c r="E440" s="1"/>
      <c r="F440" s="4">
        <f>SUM(F428:F439)</f>
        <v>16.93</v>
      </c>
    </row>
    <row r="441" spans="2:6" x14ac:dyDescent="0.25">
      <c r="B441" s="3" t="s">
        <v>21</v>
      </c>
      <c r="C441" s="1"/>
      <c r="D441" s="1"/>
      <c r="E441" s="1"/>
      <c r="F441" s="1"/>
    </row>
    <row r="442" spans="2:6" x14ac:dyDescent="0.25">
      <c r="B442" s="1" t="s">
        <v>326</v>
      </c>
      <c r="C442" s="1" t="s">
        <v>26</v>
      </c>
      <c r="D442" s="1">
        <v>15</v>
      </c>
      <c r="E442" s="1">
        <v>15</v>
      </c>
      <c r="F442" s="24">
        <f>E442/383.2*1000/12</f>
        <v>3.2620041753653446</v>
      </c>
    </row>
    <row r="443" spans="2:6" x14ac:dyDescent="0.25">
      <c r="B443" s="1" t="s">
        <v>393</v>
      </c>
      <c r="C443" s="1" t="s">
        <v>261</v>
      </c>
      <c r="D443" s="1">
        <v>140</v>
      </c>
      <c r="E443" s="1">
        <v>140</v>
      </c>
      <c r="F443" s="24">
        <f t="shared" ref="F443:F454" si="10">E443/383.2*1000/12</f>
        <v>30.445372303409883</v>
      </c>
    </row>
    <row r="444" spans="2:6" x14ac:dyDescent="0.25">
      <c r="B444" s="1" t="s">
        <v>275</v>
      </c>
      <c r="C444" s="1" t="s">
        <v>26</v>
      </c>
      <c r="D444" s="1">
        <v>75</v>
      </c>
      <c r="E444" s="1">
        <v>112.5</v>
      </c>
      <c r="F444" s="24">
        <f t="shared" si="10"/>
        <v>24.465031315240083</v>
      </c>
    </row>
    <row r="445" spans="2:6" x14ac:dyDescent="0.25">
      <c r="B445" s="1" t="s">
        <v>322</v>
      </c>
      <c r="C445" s="1" t="s">
        <v>261</v>
      </c>
      <c r="D445" s="1">
        <v>130</v>
      </c>
      <c r="E445" s="1">
        <v>156</v>
      </c>
      <c r="F445" s="24">
        <f t="shared" si="10"/>
        <v>33.92484342379958</v>
      </c>
    </row>
    <row r="446" spans="2:6" x14ac:dyDescent="0.25">
      <c r="B446" s="1" t="s">
        <v>323</v>
      </c>
      <c r="C446" s="1" t="s">
        <v>261</v>
      </c>
      <c r="D446" s="1">
        <v>150</v>
      </c>
      <c r="E446" s="1">
        <v>150</v>
      </c>
      <c r="F446" s="24">
        <f t="shared" si="10"/>
        <v>32.620041753653446</v>
      </c>
    </row>
    <row r="447" spans="2:6" x14ac:dyDescent="0.25">
      <c r="B447" s="1"/>
      <c r="C447" s="1"/>
      <c r="D447" s="1"/>
      <c r="E447" s="1"/>
      <c r="F447" s="24">
        <f t="shared" si="10"/>
        <v>0</v>
      </c>
    </row>
    <row r="448" spans="2:6" x14ac:dyDescent="0.25">
      <c r="B448" s="1"/>
      <c r="C448" s="1"/>
      <c r="D448" s="1"/>
      <c r="E448" s="1"/>
      <c r="F448" s="24">
        <f t="shared" si="10"/>
        <v>0</v>
      </c>
    </row>
    <row r="449" spans="2:6" x14ac:dyDescent="0.25">
      <c r="B449" s="1"/>
      <c r="C449" s="1"/>
      <c r="D449" s="1"/>
      <c r="E449" s="1"/>
      <c r="F449" s="24">
        <f t="shared" si="10"/>
        <v>0</v>
      </c>
    </row>
    <row r="450" spans="2:6" x14ac:dyDescent="0.25">
      <c r="B450" s="1"/>
      <c r="C450" s="1"/>
      <c r="D450" s="1"/>
      <c r="E450" s="1"/>
      <c r="F450" s="24">
        <f t="shared" si="10"/>
        <v>0</v>
      </c>
    </row>
    <row r="451" spans="2:6" x14ac:dyDescent="0.25">
      <c r="B451" s="1"/>
      <c r="C451" s="1"/>
      <c r="D451" s="1"/>
      <c r="E451" s="1"/>
      <c r="F451" s="24">
        <f t="shared" si="10"/>
        <v>0</v>
      </c>
    </row>
    <row r="452" spans="2:6" x14ac:dyDescent="0.25">
      <c r="B452" s="1"/>
      <c r="C452" s="1"/>
      <c r="D452" s="1"/>
      <c r="E452" s="1"/>
      <c r="F452" s="24">
        <f t="shared" si="10"/>
        <v>0</v>
      </c>
    </row>
    <row r="453" spans="2:6" x14ac:dyDescent="0.25">
      <c r="B453" s="1"/>
      <c r="C453" s="1"/>
      <c r="D453" s="1"/>
      <c r="E453" s="1"/>
      <c r="F453" s="24">
        <f t="shared" si="10"/>
        <v>0</v>
      </c>
    </row>
    <row r="454" spans="2:6" x14ac:dyDescent="0.25">
      <c r="B454" s="1"/>
      <c r="C454" s="1"/>
      <c r="D454" s="1"/>
      <c r="E454" s="1"/>
      <c r="F454" s="24">
        <f t="shared" si="10"/>
        <v>0</v>
      </c>
    </row>
    <row r="455" spans="2:6" x14ac:dyDescent="0.25">
      <c r="B455" s="10" t="s">
        <v>20</v>
      </c>
      <c r="C455" s="1"/>
      <c r="D455" s="1"/>
      <c r="E455" s="4">
        <f>SUM(E442:E454)</f>
        <v>573.5</v>
      </c>
      <c r="F455" s="22">
        <f>SUM(F442:F454)</f>
        <v>124.71729297146834</v>
      </c>
    </row>
    <row r="456" spans="2:6" x14ac:dyDescent="0.25">
      <c r="B456" s="4" t="s">
        <v>22</v>
      </c>
      <c r="C456" s="6"/>
      <c r="D456" s="6"/>
      <c r="E456" s="6"/>
      <c r="F456" s="23">
        <f>F440+F455</f>
        <v>141.64729297146835</v>
      </c>
    </row>
    <row r="457" spans="2:6" x14ac:dyDescent="0.25">
      <c r="B457" s="7"/>
      <c r="C457" s="7"/>
      <c r="D457" s="7"/>
      <c r="E457" s="7"/>
      <c r="F457" s="7"/>
    </row>
    <row r="458" spans="2:6" x14ac:dyDescent="0.25">
      <c r="B458" s="13"/>
      <c r="C458" s="13"/>
      <c r="D458" s="13"/>
      <c r="E458" s="13"/>
      <c r="F458" s="13"/>
    </row>
    <row r="459" spans="2:6" x14ac:dyDescent="0.25">
      <c r="B459" s="13"/>
      <c r="C459" s="13"/>
      <c r="D459" s="13"/>
      <c r="E459" s="13"/>
      <c r="F459" s="13"/>
    </row>
    <row r="460" spans="2:6" x14ac:dyDescent="0.25">
      <c r="B460" s="39" t="s">
        <v>23</v>
      </c>
      <c r="C460" s="38"/>
      <c r="D460" s="38"/>
      <c r="E460" s="39" t="s">
        <v>24</v>
      </c>
      <c r="F460" s="38"/>
    </row>
    <row r="462" spans="2:6" ht="36" customHeight="1" x14ac:dyDescent="0.25">
      <c r="B462" s="37" t="s">
        <v>121</v>
      </c>
      <c r="C462" s="37"/>
      <c r="D462" s="37"/>
      <c r="E462" s="37"/>
      <c r="F462" s="37"/>
    </row>
    <row r="463" spans="2:6" ht="32.450000000000003" customHeight="1" x14ac:dyDescent="0.25">
      <c r="B463" s="37" t="s">
        <v>1</v>
      </c>
      <c r="C463" s="37"/>
      <c r="D463" s="37"/>
      <c r="E463" s="37"/>
      <c r="F463" s="37"/>
    </row>
    <row r="464" spans="2:6" x14ac:dyDescent="0.25">
      <c r="B464" s="14" t="s">
        <v>0</v>
      </c>
      <c r="C464" s="14"/>
      <c r="D464" s="14"/>
      <c r="E464" s="14"/>
      <c r="F464" s="14"/>
    </row>
    <row r="465" spans="2:6" x14ac:dyDescent="0.25">
      <c r="B465" s="12"/>
      <c r="C465" s="38" t="s">
        <v>25</v>
      </c>
      <c r="D465" s="38"/>
      <c r="E465" s="12">
        <v>383.9</v>
      </c>
      <c r="F465" s="12" t="s">
        <v>26</v>
      </c>
    </row>
    <row r="467" spans="2:6" ht="60" x14ac:dyDescent="0.25">
      <c r="B467" s="1" t="s">
        <v>2</v>
      </c>
      <c r="C467" s="1" t="s">
        <v>4</v>
      </c>
      <c r="D467" s="1" t="s">
        <v>3</v>
      </c>
      <c r="E467" s="1" t="s">
        <v>447</v>
      </c>
      <c r="F467" s="1" t="s">
        <v>5</v>
      </c>
    </row>
    <row r="468" spans="2:6" x14ac:dyDescent="0.25">
      <c r="B468" s="1"/>
      <c r="C468" s="1"/>
      <c r="D468" s="1"/>
      <c r="E468" s="1"/>
      <c r="F468" s="1"/>
    </row>
    <row r="469" spans="2:6" x14ac:dyDescent="0.25">
      <c r="B469" s="3" t="s">
        <v>6</v>
      </c>
      <c r="C469" s="1"/>
      <c r="D469" s="1"/>
      <c r="E469" s="1"/>
      <c r="F469" s="1"/>
    </row>
    <row r="470" spans="2:6" x14ac:dyDescent="0.25">
      <c r="B470" s="5" t="s">
        <v>7</v>
      </c>
      <c r="C470" s="1"/>
      <c r="D470" s="1"/>
      <c r="E470" s="1"/>
      <c r="F470" s="5">
        <v>2.0099999999999998</v>
      </c>
    </row>
    <row r="471" spans="2:6" x14ac:dyDescent="0.25">
      <c r="B471" s="5" t="s">
        <v>8</v>
      </c>
      <c r="C471" s="1"/>
      <c r="D471" s="1"/>
      <c r="E471" s="1"/>
      <c r="F471" s="5">
        <v>5.34</v>
      </c>
    </row>
    <row r="472" spans="2:6" ht="24.75" x14ac:dyDescent="0.25">
      <c r="B472" s="5" t="s">
        <v>11</v>
      </c>
      <c r="C472" s="1"/>
      <c r="D472" s="1"/>
      <c r="E472" s="1"/>
      <c r="F472" s="5">
        <v>0.55000000000000004</v>
      </c>
    </row>
    <row r="473" spans="2:6" ht="24.75" x14ac:dyDescent="0.25">
      <c r="B473" s="5" t="s">
        <v>12</v>
      </c>
      <c r="C473" s="1"/>
      <c r="D473" s="1"/>
      <c r="E473" s="1"/>
      <c r="F473" s="5">
        <v>0.53</v>
      </c>
    </row>
    <row r="474" spans="2:6" ht="24.75" x14ac:dyDescent="0.25">
      <c r="B474" s="5" t="s">
        <v>13</v>
      </c>
      <c r="C474" s="1"/>
      <c r="D474" s="1"/>
      <c r="E474" s="1"/>
      <c r="F474" s="5">
        <v>0.19</v>
      </c>
    </row>
    <row r="475" spans="2:6" ht="24.75" x14ac:dyDescent="0.25">
      <c r="B475" s="5" t="s">
        <v>14</v>
      </c>
      <c r="C475" s="1"/>
      <c r="D475" s="1"/>
      <c r="E475" s="1"/>
      <c r="F475" s="5">
        <v>1.25</v>
      </c>
    </row>
    <row r="476" spans="2:6" ht="24.75" x14ac:dyDescent="0.25">
      <c r="B476" s="5" t="s">
        <v>9</v>
      </c>
      <c r="C476" s="1"/>
      <c r="D476" s="1"/>
      <c r="E476" s="1"/>
      <c r="F476" s="5">
        <v>0.26</v>
      </c>
    </row>
    <row r="477" spans="2:6" ht="24.75" x14ac:dyDescent="0.25">
      <c r="B477" s="5" t="s">
        <v>15</v>
      </c>
      <c r="C477" s="1"/>
      <c r="D477" s="1"/>
      <c r="E477" s="1"/>
      <c r="F477" s="5">
        <v>0.27</v>
      </c>
    </row>
    <row r="478" spans="2:6" ht="24.75" x14ac:dyDescent="0.25">
      <c r="B478" s="5" t="s">
        <v>16</v>
      </c>
      <c r="C478" s="1"/>
      <c r="D478" s="1"/>
      <c r="E478" s="1"/>
      <c r="F478" s="5">
        <v>0.28999999999999998</v>
      </c>
    </row>
    <row r="479" spans="2:6" x14ac:dyDescent="0.25">
      <c r="B479" s="5" t="s">
        <v>17</v>
      </c>
      <c r="C479" s="1"/>
      <c r="D479" s="1"/>
      <c r="E479" s="1"/>
      <c r="F479" s="5">
        <v>0.32</v>
      </c>
    </row>
    <row r="480" spans="2:6" x14ac:dyDescent="0.25">
      <c r="B480" s="5" t="s">
        <v>18</v>
      </c>
      <c r="C480" s="1"/>
      <c r="D480" s="1"/>
      <c r="E480" s="1"/>
      <c r="F480" s="5">
        <v>1.97</v>
      </c>
    </row>
    <row r="481" spans="2:6" x14ac:dyDescent="0.25">
      <c r="B481" s="5" t="s">
        <v>19</v>
      </c>
      <c r="C481" s="1"/>
      <c r="D481" s="1"/>
      <c r="E481" s="1"/>
      <c r="F481" s="5">
        <v>3.95</v>
      </c>
    </row>
    <row r="482" spans="2:6" x14ac:dyDescent="0.25">
      <c r="B482" s="10" t="s">
        <v>20</v>
      </c>
      <c r="C482" s="1"/>
      <c r="D482" s="1"/>
      <c r="E482" s="1"/>
      <c r="F482" s="4">
        <f>SUM(F470:F481)</f>
        <v>16.93</v>
      </c>
    </row>
    <row r="483" spans="2:6" x14ac:dyDescent="0.25">
      <c r="B483" s="3" t="s">
        <v>21</v>
      </c>
      <c r="C483" s="1"/>
      <c r="D483" s="1"/>
      <c r="E483" s="1"/>
      <c r="F483" s="1"/>
    </row>
    <row r="484" spans="2:6" x14ac:dyDescent="0.25">
      <c r="B484" s="1" t="s">
        <v>347</v>
      </c>
      <c r="C484" s="1" t="s">
        <v>26</v>
      </c>
      <c r="D484" s="1">
        <v>480</v>
      </c>
      <c r="E484" s="1">
        <v>120</v>
      </c>
      <c r="F484" s="24">
        <f>E484/383.9*1000/12</f>
        <v>26.048450117218028</v>
      </c>
    </row>
    <row r="485" spans="2:6" x14ac:dyDescent="0.25">
      <c r="B485" s="1" t="s">
        <v>275</v>
      </c>
      <c r="C485" s="1" t="s">
        <v>26</v>
      </c>
      <c r="D485" s="1">
        <v>40</v>
      </c>
      <c r="E485" s="1">
        <v>60</v>
      </c>
      <c r="F485" s="24">
        <f t="shared" ref="F485:F498" si="11">E485/383.9*1000/12</f>
        <v>13.024225058609014</v>
      </c>
    </row>
    <row r="486" spans="2:6" x14ac:dyDescent="0.25">
      <c r="B486" s="1" t="s">
        <v>390</v>
      </c>
      <c r="C486" s="1" t="s">
        <v>261</v>
      </c>
      <c r="D486" s="1">
        <v>24</v>
      </c>
      <c r="E486" s="1">
        <v>31.2</v>
      </c>
      <c r="F486" s="24">
        <f t="shared" si="11"/>
        <v>6.7725970304766863</v>
      </c>
    </row>
    <row r="487" spans="2:6" x14ac:dyDescent="0.25">
      <c r="B487" s="1" t="s">
        <v>319</v>
      </c>
      <c r="C487" s="1" t="s">
        <v>261</v>
      </c>
      <c r="D487" s="1">
        <v>12</v>
      </c>
      <c r="E487" s="1">
        <v>15.6</v>
      </c>
      <c r="F487" s="24">
        <f t="shared" si="11"/>
        <v>3.3862985152383431</v>
      </c>
    </row>
    <row r="488" spans="2:6" x14ac:dyDescent="0.25">
      <c r="B488" s="1" t="s">
        <v>320</v>
      </c>
      <c r="C488" s="1" t="s">
        <v>261</v>
      </c>
      <c r="D488" s="1">
        <v>20</v>
      </c>
      <c r="E488" s="1">
        <v>38</v>
      </c>
      <c r="F488" s="24">
        <f t="shared" si="11"/>
        <v>8.2486758704523755</v>
      </c>
    </row>
    <row r="489" spans="2:6" x14ac:dyDescent="0.25">
      <c r="B489" s="1" t="s">
        <v>325</v>
      </c>
      <c r="C489" s="1" t="s">
        <v>261</v>
      </c>
      <c r="D489" s="1">
        <v>18</v>
      </c>
      <c r="E489" s="1">
        <v>34.200000000000003</v>
      </c>
      <c r="F489" s="24">
        <f t="shared" si="11"/>
        <v>7.4238082834071379</v>
      </c>
    </row>
    <row r="490" spans="2:6" x14ac:dyDescent="0.25">
      <c r="B490" s="1" t="s">
        <v>343</v>
      </c>
      <c r="C490" s="1" t="s">
        <v>256</v>
      </c>
      <c r="D490" s="1">
        <v>1</v>
      </c>
      <c r="E490" s="1">
        <v>50</v>
      </c>
      <c r="F490" s="24">
        <f t="shared" si="11"/>
        <v>10.853520882174179</v>
      </c>
    </row>
    <row r="491" spans="2:6" x14ac:dyDescent="0.25">
      <c r="B491" s="1" t="s">
        <v>322</v>
      </c>
      <c r="C491" s="1" t="s">
        <v>261</v>
      </c>
      <c r="D491" s="1">
        <v>130</v>
      </c>
      <c r="E491" s="1">
        <v>156</v>
      </c>
      <c r="F491" s="24">
        <f t="shared" si="11"/>
        <v>33.862985152383438</v>
      </c>
    </row>
    <row r="492" spans="2:6" x14ac:dyDescent="0.25">
      <c r="B492" s="1" t="s">
        <v>375</v>
      </c>
      <c r="C492" s="1" t="s">
        <v>261</v>
      </c>
      <c r="D492" s="1">
        <v>160</v>
      </c>
      <c r="E492" s="1">
        <v>160</v>
      </c>
      <c r="F492" s="24">
        <f t="shared" si="11"/>
        <v>34.731266822957373</v>
      </c>
    </row>
    <row r="493" spans="2:6" x14ac:dyDescent="0.25">
      <c r="B493" s="1" t="s">
        <v>352</v>
      </c>
      <c r="C493" s="1" t="s">
        <v>261</v>
      </c>
      <c r="D493" s="1">
        <v>66</v>
      </c>
      <c r="E493" s="1">
        <v>66</v>
      </c>
      <c r="F493" s="24">
        <f t="shared" si="11"/>
        <v>14.326647564469916</v>
      </c>
    </row>
    <row r="494" spans="2:6" x14ac:dyDescent="0.25">
      <c r="B494" s="1"/>
      <c r="C494" s="1"/>
      <c r="D494" s="1"/>
      <c r="E494" s="1"/>
      <c r="F494" s="24">
        <f t="shared" si="11"/>
        <v>0</v>
      </c>
    </row>
    <row r="495" spans="2:6" x14ac:dyDescent="0.25">
      <c r="B495" s="1"/>
      <c r="C495" s="1"/>
      <c r="D495" s="1"/>
      <c r="E495" s="1"/>
      <c r="F495" s="24">
        <f t="shared" si="11"/>
        <v>0</v>
      </c>
    </row>
    <row r="496" spans="2:6" x14ac:dyDescent="0.25">
      <c r="B496" s="1"/>
      <c r="C496" s="1"/>
      <c r="D496" s="1"/>
      <c r="E496" s="1"/>
      <c r="F496" s="24">
        <f t="shared" si="11"/>
        <v>0</v>
      </c>
    </row>
    <row r="497" spans="2:6" x14ac:dyDescent="0.25">
      <c r="B497" s="1"/>
      <c r="C497" s="1"/>
      <c r="D497" s="1"/>
      <c r="E497" s="1"/>
      <c r="F497" s="24">
        <f t="shared" si="11"/>
        <v>0</v>
      </c>
    </row>
    <row r="498" spans="2:6" x14ac:dyDescent="0.25">
      <c r="B498" s="1"/>
      <c r="C498" s="1"/>
      <c r="D498" s="1"/>
      <c r="E498" s="1"/>
      <c r="F498" s="24">
        <f t="shared" si="11"/>
        <v>0</v>
      </c>
    </row>
    <row r="499" spans="2:6" x14ac:dyDescent="0.25">
      <c r="B499" s="10" t="s">
        <v>20</v>
      </c>
      <c r="C499" s="1"/>
      <c r="D499" s="1"/>
      <c r="E499" s="4">
        <f>SUM(E484:E498)</f>
        <v>731</v>
      </c>
      <c r="F499" s="22">
        <f>SUM(F484:F498)</f>
        <v>158.67847529738648</v>
      </c>
    </row>
    <row r="500" spans="2:6" x14ac:dyDescent="0.25">
      <c r="B500" s="4" t="s">
        <v>22</v>
      </c>
      <c r="C500" s="6"/>
      <c r="D500" s="6"/>
      <c r="E500" s="6"/>
      <c r="F500" s="23">
        <f>F482+F499</f>
        <v>175.60847529738649</v>
      </c>
    </row>
    <row r="501" spans="2:6" x14ac:dyDescent="0.25">
      <c r="B501" s="7"/>
      <c r="C501" s="7"/>
      <c r="D501" s="7"/>
      <c r="E501" s="7"/>
      <c r="F501" s="7"/>
    </row>
    <row r="502" spans="2:6" x14ac:dyDescent="0.25">
      <c r="B502" s="13"/>
      <c r="C502" s="13"/>
      <c r="D502" s="13"/>
      <c r="E502" s="13"/>
      <c r="F502" s="13"/>
    </row>
    <row r="503" spans="2:6" x14ac:dyDescent="0.25">
      <c r="B503" s="13"/>
      <c r="C503" s="13"/>
      <c r="D503" s="13"/>
      <c r="E503" s="13"/>
      <c r="F503" s="13"/>
    </row>
    <row r="504" spans="2:6" x14ac:dyDescent="0.25">
      <c r="B504" s="39" t="s">
        <v>23</v>
      </c>
      <c r="C504" s="38"/>
      <c r="D504" s="38"/>
      <c r="E504" s="39" t="s">
        <v>24</v>
      </c>
      <c r="F504" s="38"/>
    </row>
    <row r="506" spans="2:6" ht="33" customHeight="1" x14ac:dyDescent="0.25">
      <c r="B506" s="37" t="s">
        <v>122</v>
      </c>
      <c r="C506" s="37"/>
      <c r="D506" s="37"/>
      <c r="E506" s="37"/>
      <c r="F506" s="37"/>
    </row>
    <row r="507" spans="2:6" ht="33" customHeight="1" x14ac:dyDescent="0.25">
      <c r="B507" s="37" t="s">
        <v>1</v>
      </c>
      <c r="C507" s="37"/>
      <c r="D507" s="37"/>
      <c r="E507" s="37"/>
      <c r="F507" s="37"/>
    </row>
    <row r="508" spans="2:6" x14ac:dyDescent="0.25">
      <c r="B508" s="14" t="s">
        <v>0</v>
      </c>
      <c r="C508" s="14"/>
      <c r="D508" s="14"/>
      <c r="E508" s="14"/>
      <c r="F508" s="14"/>
    </row>
    <row r="509" spans="2:6" x14ac:dyDescent="0.25">
      <c r="B509" s="12"/>
      <c r="C509" s="38" t="s">
        <v>25</v>
      </c>
      <c r="D509" s="38"/>
      <c r="E509" s="12">
        <v>282.7</v>
      </c>
      <c r="F509" s="12" t="s">
        <v>26</v>
      </c>
    </row>
    <row r="511" spans="2:6" ht="60" x14ac:dyDescent="0.25">
      <c r="B511" s="1" t="s">
        <v>2</v>
      </c>
      <c r="C511" s="1" t="s">
        <v>4</v>
      </c>
      <c r="D511" s="1" t="s">
        <v>3</v>
      </c>
      <c r="E511" s="1" t="s">
        <v>447</v>
      </c>
      <c r="F511" s="1" t="s">
        <v>5</v>
      </c>
    </row>
    <row r="512" spans="2:6" x14ac:dyDescent="0.25">
      <c r="B512" s="1"/>
      <c r="C512" s="1"/>
      <c r="D512" s="1"/>
      <c r="E512" s="1"/>
      <c r="F512" s="1"/>
    </row>
    <row r="513" spans="2:6" x14ac:dyDescent="0.25">
      <c r="B513" s="3" t="s">
        <v>6</v>
      </c>
      <c r="C513" s="1"/>
      <c r="D513" s="1"/>
      <c r="E513" s="1"/>
      <c r="F513" s="1"/>
    </row>
    <row r="514" spans="2:6" x14ac:dyDescent="0.25">
      <c r="B514" s="5" t="s">
        <v>7</v>
      </c>
      <c r="C514" s="1"/>
      <c r="D514" s="1"/>
      <c r="E514" s="1"/>
      <c r="F514" s="5">
        <v>2.0099999999999998</v>
      </c>
    </row>
    <row r="515" spans="2:6" x14ac:dyDescent="0.25">
      <c r="B515" s="5" t="s">
        <v>8</v>
      </c>
      <c r="C515" s="1"/>
      <c r="D515" s="1"/>
      <c r="E515" s="1"/>
      <c r="F515" s="5">
        <v>5.34</v>
      </c>
    </row>
    <row r="516" spans="2:6" ht="24.75" x14ac:dyDescent="0.25">
      <c r="B516" s="5" t="s">
        <v>11</v>
      </c>
      <c r="C516" s="1"/>
      <c r="D516" s="1"/>
      <c r="E516" s="1"/>
      <c r="F516" s="5">
        <v>0.55000000000000004</v>
      </c>
    </row>
    <row r="517" spans="2:6" ht="24.75" x14ac:dyDescent="0.25">
      <c r="B517" s="5" t="s">
        <v>12</v>
      </c>
      <c r="C517" s="1"/>
      <c r="D517" s="1"/>
      <c r="E517" s="1"/>
      <c r="F517" s="5">
        <v>0.53</v>
      </c>
    </row>
    <row r="518" spans="2:6" ht="24.75" x14ac:dyDescent="0.25">
      <c r="B518" s="5" t="s">
        <v>13</v>
      </c>
      <c r="C518" s="1"/>
      <c r="D518" s="1"/>
      <c r="E518" s="1"/>
      <c r="F518" s="5">
        <v>0.19</v>
      </c>
    </row>
    <row r="519" spans="2:6" ht="24.75" x14ac:dyDescent="0.25">
      <c r="B519" s="5" t="s">
        <v>14</v>
      </c>
      <c r="C519" s="1"/>
      <c r="D519" s="1"/>
      <c r="E519" s="1"/>
      <c r="F519" s="5">
        <v>1.25</v>
      </c>
    </row>
    <row r="520" spans="2:6" ht="24.75" x14ac:dyDescent="0.25">
      <c r="B520" s="5" t="s">
        <v>9</v>
      </c>
      <c r="C520" s="1"/>
      <c r="D520" s="1"/>
      <c r="E520" s="1"/>
      <c r="F520" s="5">
        <v>0.26</v>
      </c>
    </row>
    <row r="521" spans="2:6" ht="24.75" x14ac:dyDescent="0.25">
      <c r="B521" s="5" t="s">
        <v>15</v>
      </c>
      <c r="C521" s="1"/>
      <c r="D521" s="1"/>
      <c r="E521" s="1"/>
      <c r="F521" s="5">
        <v>0.27</v>
      </c>
    </row>
    <row r="522" spans="2:6" ht="24.75" x14ac:dyDescent="0.25">
      <c r="B522" s="5" t="s">
        <v>16</v>
      </c>
      <c r="C522" s="1"/>
      <c r="D522" s="1"/>
      <c r="E522" s="1"/>
      <c r="F522" s="5">
        <v>0.28999999999999998</v>
      </c>
    </row>
    <row r="523" spans="2:6" x14ac:dyDescent="0.25">
      <c r="B523" s="5" t="s">
        <v>17</v>
      </c>
      <c r="C523" s="1"/>
      <c r="D523" s="1"/>
      <c r="E523" s="1"/>
      <c r="F523" s="5">
        <v>0.32</v>
      </c>
    </row>
    <row r="524" spans="2:6" x14ac:dyDescent="0.25">
      <c r="B524" s="5" t="s">
        <v>18</v>
      </c>
      <c r="C524" s="1"/>
      <c r="D524" s="1"/>
      <c r="E524" s="1"/>
      <c r="F524" s="5">
        <v>1.97</v>
      </c>
    </row>
    <row r="525" spans="2:6" x14ac:dyDescent="0.25">
      <c r="B525" s="5" t="s">
        <v>19</v>
      </c>
      <c r="C525" s="1"/>
      <c r="D525" s="1"/>
      <c r="E525" s="1"/>
      <c r="F525" s="5">
        <v>3.95</v>
      </c>
    </row>
    <row r="526" spans="2:6" x14ac:dyDescent="0.25">
      <c r="B526" s="10" t="s">
        <v>20</v>
      </c>
      <c r="C526" s="1"/>
      <c r="D526" s="1"/>
      <c r="E526" s="1"/>
      <c r="F526" s="4">
        <f>SUM(F514:F525)</f>
        <v>16.93</v>
      </c>
    </row>
    <row r="527" spans="2:6" x14ac:dyDescent="0.25">
      <c r="B527" s="3" t="s">
        <v>21</v>
      </c>
      <c r="C527" s="1"/>
      <c r="D527" s="1"/>
      <c r="E527" s="1"/>
      <c r="F527" s="1"/>
    </row>
    <row r="528" spans="2:6" x14ac:dyDescent="0.25">
      <c r="B528" s="1" t="s">
        <v>326</v>
      </c>
      <c r="C528" s="1" t="s">
        <v>26</v>
      </c>
      <c r="D528" s="1">
        <v>15</v>
      </c>
      <c r="E528" s="1">
        <v>22.5</v>
      </c>
      <c r="F528" s="24">
        <f>E528/282.7*1000/12</f>
        <v>6.6324725857799791</v>
      </c>
    </row>
    <row r="529" spans="2:6" x14ac:dyDescent="0.25">
      <c r="B529" s="1" t="s">
        <v>327</v>
      </c>
      <c r="C529" s="1" t="s">
        <v>261</v>
      </c>
      <c r="D529" s="1">
        <v>104</v>
      </c>
      <c r="E529" s="1">
        <v>104</v>
      </c>
      <c r="F529" s="24">
        <f t="shared" ref="F529:F538" si="12">E529/282.7*1000/12</f>
        <v>30.656762174271904</v>
      </c>
    </row>
    <row r="530" spans="2:6" x14ac:dyDescent="0.25">
      <c r="B530" s="1" t="s">
        <v>275</v>
      </c>
      <c r="C530" s="1" t="s">
        <v>26</v>
      </c>
      <c r="D530" s="1">
        <v>55</v>
      </c>
      <c r="E530" s="1">
        <v>82.5</v>
      </c>
      <c r="F530" s="24">
        <f t="shared" si="12"/>
        <v>24.319066147859925</v>
      </c>
    </row>
    <row r="531" spans="2:6" x14ac:dyDescent="0.25">
      <c r="B531" s="1" t="s">
        <v>318</v>
      </c>
      <c r="C531" s="1" t="s">
        <v>26</v>
      </c>
      <c r="D531" s="1">
        <v>406</v>
      </c>
      <c r="E531" s="1">
        <v>101.5</v>
      </c>
      <c r="F531" s="24">
        <f t="shared" si="12"/>
        <v>29.919820775851907</v>
      </c>
    </row>
    <row r="532" spans="2:6" x14ac:dyDescent="0.25">
      <c r="B532" s="1" t="s">
        <v>390</v>
      </c>
      <c r="C532" s="1" t="s">
        <v>261</v>
      </c>
      <c r="D532" s="1">
        <v>20</v>
      </c>
      <c r="E532" s="1">
        <v>26</v>
      </c>
      <c r="F532" s="24">
        <f t="shared" si="12"/>
        <v>7.664190543567976</v>
      </c>
    </row>
    <row r="533" spans="2:6" x14ac:dyDescent="0.25">
      <c r="B533" s="1" t="s">
        <v>319</v>
      </c>
      <c r="C533" s="1" t="s">
        <v>261</v>
      </c>
      <c r="D533" s="1">
        <v>8</v>
      </c>
      <c r="E533" s="1">
        <v>10.4</v>
      </c>
      <c r="F533" s="24">
        <f t="shared" si="12"/>
        <v>3.0656762174271908</v>
      </c>
    </row>
    <row r="534" spans="2:6" x14ac:dyDescent="0.25">
      <c r="B534" s="1" t="s">
        <v>320</v>
      </c>
      <c r="C534" s="1" t="s">
        <v>261</v>
      </c>
      <c r="D534" s="1">
        <v>17</v>
      </c>
      <c r="E534" s="1">
        <v>32.299999999999997</v>
      </c>
      <c r="F534" s="24">
        <f t="shared" si="12"/>
        <v>9.5212828675863683</v>
      </c>
    </row>
    <row r="535" spans="2:6" x14ac:dyDescent="0.25">
      <c r="B535" s="1" t="s">
        <v>325</v>
      </c>
      <c r="C535" s="1" t="s">
        <v>261</v>
      </c>
      <c r="D535" s="1">
        <v>18</v>
      </c>
      <c r="E535" s="1">
        <v>34.200000000000003</v>
      </c>
      <c r="F535" s="24">
        <f t="shared" si="12"/>
        <v>10.081358330385569</v>
      </c>
    </row>
    <row r="536" spans="2:6" x14ac:dyDescent="0.25">
      <c r="B536" s="1" t="s">
        <v>322</v>
      </c>
      <c r="C536" s="1" t="s">
        <v>261</v>
      </c>
      <c r="D536" s="1">
        <v>130</v>
      </c>
      <c r="E536" s="1">
        <v>156</v>
      </c>
      <c r="F536" s="24">
        <f t="shared" si="12"/>
        <v>45.985143261407849</v>
      </c>
    </row>
    <row r="537" spans="2:6" x14ac:dyDescent="0.25">
      <c r="B537" s="1" t="s">
        <v>323</v>
      </c>
      <c r="C537" s="1" t="s">
        <v>261</v>
      </c>
      <c r="D537" s="1">
        <v>140</v>
      </c>
      <c r="E537" s="1">
        <v>140</v>
      </c>
      <c r="F537" s="24">
        <f t="shared" si="12"/>
        <v>41.268718311519869</v>
      </c>
    </row>
    <row r="538" spans="2:6" x14ac:dyDescent="0.25">
      <c r="B538" s="1"/>
      <c r="C538" s="1"/>
      <c r="D538" s="1"/>
      <c r="E538" s="1"/>
      <c r="F538" s="24">
        <f t="shared" si="12"/>
        <v>0</v>
      </c>
    </row>
    <row r="539" spans="2:6" x14ac:dyDescent="0.25">
      <c r="B539" s="10" t="s">
        <v>20</v>
      </c>
      <c r="C539" s="1"/>
      <c r="D539" s="1"/>
      <c r="E539" s="4">
        <f>SUM(E528:E538)</f>
        <v>709.4</v>
      </c>
      <c r="F539" s="22">
        <f>SUM(F528:F538)</f>
        <v>209.11449121565855</v>
      </c>
    </row>
    <row r="540" spans="2:6" x14ac:dyDescent="0.25">
      <c r="B540" s="4" t="s">
        <v>22</v>
      </c>
      <c r="C540" s="6"/>
      <c r="D540" s="6"/>
      <c r="E540" s="6"/>
      <c r="F540" s="23">
        <f>F526+F539</f>
        <v>226.04449121565855</v>
      </c>
    </row>
    <row r="541" spans="2:6" x14ac:dyDescent="0.25">
      <c r="B541" s="7"/>
      <c r="C541" s="7"/>
      <c r="D541" s="7"/>
      <c r="E541" s="7"/>
      <c r="F541" s="7"/>
    </row>
    <row r="542" spans="2:6" x14ac:dyDescent="0.25">
      <c r="B542" s="13"/>
      <c r="C542" s="13"/>
      <c r="D542" s="13"/>
      <c r="E542" s="13"/>
      <c r="F542" s="13"/>
    </row>
    <row r="543" spans="2:6" x14ac:dyDescent="0.25">
      <c r="B543" s="13"/>
      <c r="C543" s="13"/>
      <c r="D543" s="13"/>
      <c r="E543" s="13"/>
      <c r="F543" s="13"/>
    </row>
    <row r="544" spans="2:6" x14ac:dyDescent="0.25">
      <c r="B544" s="39" t="s">
        <v>23</v>
      </c>
      <c r="C544" s="38"/>
      <c r="D544" s="38"/>
      <c r="E544" s="39" t="s">
        <v>24</v>
      </c>
      <c r="F544" s="38"/>
    </row>
    <row r="546" spans="2:6" ht="31.9" customHeight="1" x14ac:dyDescent="0.25">
      <c r="B546" s="37" t="s">
        <v>123</v>
      </c>
      <c r="C546" s="37"/>
      <c r="D546" s="37"/>
      <c r="E546" s="37"/>
      <c r="F546" s="37"/>
    </row>
    <row r="547" spans="2:6" ht="27.6" customHeight="1" x14ac:dyDescent="0.25">
      <c r="B547" s="37" t="s">
        <v>1</v>
      </c>
      <c r="C547" s="37"/>
      <c r="D547" s="37"/>
      <c r="E547" s="37"/>
      <c r="F547" s="37"/>
    </row>
    <row r="548" spans="2:6" x14ac:dyDescent="0.25">
      <c r="B548" s="14" t="s">
        <v>0</v>
      </c>
      <c r="C548" s="14"/>
      <c r="D548" s="14"/>
      <c r="E548" s="14"/>
      <c r="F548" s="14"/>
    </row>
    <row r="549" spans="2:6" x14ac:dyDescent="0.25">
      <c r="B549" s="12"/>
      <c r="C549" s="38" t="s">
        <v>25</v>
      </c>
      <c r="D549" s="38"/>
      <c r="E549" s="12">
        <v>279.60000000000002</v>
      </c>
      <c r="F549" s="12" t="s">
        <v>26</v>
      </c>
    </row>
    <row r="551" spans="2:6" ht="60" x14ac:dyDescent="0.25">
      <c r="B551" s="1" t="s">
        <v>2</v>
      </c>
      <c r="C551" s="1" t="s">
        <v>4</v>
      </c>
      <c r="D551" s="1" t="s">
        <v>3</v>
      </c>
      <c r="E551" s="1" t="s">
        <v>447</v>
      </c>
      <c r="F551" s="1" t="s">
        <v>5</v>
      </c>
    </row>
    <row r="552" spans="2:6" x14ac:dyDescent="0.25">
      <c r="B552" s="1"/>
      <c r="C552" s="1"/>
      <c r="D552" s="1"/>
      <c r="E552" s="1"/>
      <c r="F552" s="1"/>
    </row>
    <row r="553" spans="2:6" x14ac:dyDescent="0.25">
      <c r="B553" s="3" t="s">
        <v>6</v>
      </c>
      <c r="C553" s="1"/>
      <c r="D553" s="1"/>
      <c r="E553" s="1"/>
      <c r="F553" s="1"/>
    </row>
    <row r="554" spans="2:6" x14ac:dyDescent="0.25">
      <c r="B554" s="5" t="s">
        <v>7</v>
      </c>
      <c r="C554" s="1"/>
      <c r="D554" s="1"/>
      <c r="E554" s="1"/>
      <c r="F554" s="5">
        <v>2.0099999999999998</v>
      </c>
    </row>
    <row r="555" spans="2:6" x14ac:dyDescent="0.25">
      <c r="B555" s="5" t="s">
        <v>8</v>
      </c>
      <c r="C555" s="1"/>
      <c r="D555" s="1"/>
      <c r="E555" s="1"/>
      <c r="F555" s="5">
        <v>5.34</v>
      </c>
    </row>
    <row r="556" spans="2:6" ht="24.75" x14ac:dyDescent="0.25">
      <c r="B556" s="5" t="s">
        <v>11</v>
      </c>
      <c r="C556" s="1"/>
      <c r="D556" s="1"/>
      <c r="E556" s="1"/>
      <c r="F556" s="5">
        <v>0.55000000000000004</v>
      </c>
    </row>
    <row r="557" spans="2:6" ht="24.75" x14ac:dyDescent="0.25">
      <c r="B557" s="5" t="s">
        <v>12</v>
      </c>
      <c r="C557" s="1"/>
      <c r="D557" s="1"/>
      <c r="E557" s="1"/>
      <c r="F557" s="5">
        <v>0.53</v>
      </c>
    </row>
    <row r="558" spans="2:6" ht="24.75" x14ac:dyDescent="0.25">
      <c r="B558" s="5" t="s">
        <v>13</v>
      </c>
      <c r="C558" s="1"/>
      <c r="D558" s="1"/>
      <c r="E558" s="1"/>
      <c r="F558" s="5">
        <v>0.19</v>
      </c>
    </row>
    <row r="559" spans="2:6" ht="24.75" x14ac:dyDescent="0.25">
      <c r="B559" s="5" t="s">
        <v>14</v>
      </c>
      <c r="C559" s="1"/>
      <c r="D559" s="1"/>
      <c r="E559" s="1"/>
      <c r="F559" s="5">
        <v>1.25</v>
      </c>
    </row>
    <row r="560" spans="2:6" ht="24.75" x14ac:dyDescent="0.25">
      <c r="B560" s="5" t="s">
        <v>9</v>
      </c>
      <c r="C560" s="1"/>
      <c r="D560" s="1"/>
      <c r="E560" s="1"/>
      <c r="F560" s="5">
        <v>0.26</v>
      </c>
    </row>
    <row r="561" spans="2:6" ht="24.75" x14ac:dyDescent="0.25">
      <c r="B561" s="5" t="s">
        <v>15</v>
      </c>
      <c r="C561" s="1"/>
      <c r="D561" s="1"/>
      <c r="E561" s="1"/>
      <c r="F561" s="5">
        <v>0.27</v>
      </c>
    </row>
    <row r="562" spans="2:6" ht="24.75" x14ac:dyDescent="0.25">
      <c r="B562" s="5" t="s">
        <v>16</v>
      </c>
      <c r="C562" s="1"/>
      <c r="D562" s="1"/>
      <c r="E562" s="1"/>
      <c r="F562" s="5">
        <v>0.28999999999999998</v>
      </c>
    </row>
    <row r="563" spans="2:6" x14ac:dyDescent="0.25">
      <c r="B563" s="5" t="s">
        <v>17</v>
      </c>
      <c r="C563" s="1"/>
      <c r="D563" s="1"/>
      <c r="E563" s="1"/>
      <c r="F563" s="5">
        <v>0.32</v>
      </c>
    </row>
    <row r="564" spans="2:6" x14ac:dyDescent="0.25">
      <c r="B564" s="5" t="s">
        <v>18</v>
      </c>
      <c r="C564" s="1"/>
      <c r="D564" s="1"/>
      <c r="E564" s="1"/>
      <c r="F564" s="5">
        <v>1.97</v>
      </c>
    </row>
    <row r="565" spans="2:6" x14ac:dyDescent="0.25">
      <c r="B565" s="5" t="s">
        <v>19</v>
      </c>
      <c r="C565" s="1"/>
      <c r="D565" s="1"/>
      <c r="E565" s="1"/>
      <c r="F565" s="5">
        <v>3.95</v>
      </c>
    </row>
    <row r="566" spans="2:6" x14ac:dyDescent="0.25">
      <c r="B566" s="10" t="s">
        <v>20</v>
      </c>
      <c r="C566" s="1"/>
      <c r="D566" s="1"/>
      <c r="E566" s="1"/>
      <c r="F566" s="4">
        <f>SUM(F554:F565)</f>
        <v>16.93</v>
      </c>
    </row>
    <row r="567" spans="2:6" x14ac:dyDescent="0.25">
      <c r="B567" s="3" t="s">
        <v>21</v>
      </c>
      <c r="C567" s="1"/>
      <c r="D567" s="1"/>
      <c r="E567" s="1"/>
      <c r="F567" s="1"/>
    </row>
    <row r="568" spans="2:6" x14ac:dyDescent="0.25">
      <c r="B568" s="1" t="s">
        <v>317</v>
      </c>
      <c r="C568" s="1" t="s">
        <v>256</v>
      </c>
      <c r="D568" s="1">
        <v>1</v>
      </c>
      <c r="E568" s="1">
        <v>45</v>
      </c>
      <c r="F568" s="24">
        <f>E568/279.6*1000/12</f>
        <v>13.412017167381974</v>
      </c>
    </row>
    <row r="569" spans="2:6" x14ac:dyDescent="0.25">
      <c r="B569" s="1" t="s">
        <v>275</v>
      </c>
      <c r="C569" s="1" t="s">
        <v>26</v>
      </c>
      <c r="D569" s="1">
        <v>41</v>
      </c>
      <c r="E569" s="1">
        <v>61.5</v>
      </c>
      <c r="F569" s="24">
        <f t="shared" ref="F569:F580" si="13">E569/279.6*1000/12</f>
        <v>18.329756795422028</v>
      </c>
    </row>
    <row r="570" spans="2:6" x14ac:dyDescent="0.25">
      <c r="B570" s="1" t="s">
        <v>390</v>
      </c>
      <c r="C570" s="1" t="s">
        <v>261</v>
      </c>
      <c r="D570" s="1">
        <v>22</v>
      </c>
      <c r="E570" s="1">
        <v>28.6</v>
      </c>
      <c r="F570" s="24">
        <f t="shared" si="13"/>
        <v>8.5240820219360991</v>
      </c>
    </row>
    <row r="571" spans="2:6" x14ac:dyDescent="0.25">
      <c r="B571" s="1" t="s">
        <v>319</v>
      </c>
      <c r="C571" s="1" t="s">
        <v>261</v>
      </c>
      <c r="D571" s="1">
        <v>12</v>
      </c>
      <c r="E571" s="1">
        <v>15.6</v>
      </c>
      <c r="F571" s="24">
        <f t="shared" si="13"/>
        <v>4.6494992846924177</v>
      </c>
    </row>
    <row r="572" spans="2:6" x14ac:dyDescent="0.25">
      <c r="B572" s="1" t="s">
        <v>320</v>
      </c>
      <c r="C572" s="1" t="s">
        <v>261</v>
      </c>
      <c r="D572" s="1">
        <v>20</v>
      </c>
      <c r="E572" s="1">
        <v>38</v>
      </c>
      <c r="F572" s="24">
        <f t="shared" si="13"/>
        <v>11.325703385789224</v>
      </c>
    </row>
    <row r="573" spans="2:6" x14ac:dyDescent="0.25">
      <c r="B573" s="1" t="s">
        <v>325</v>
      </c>
      <c r="C573" s="1" t="s">
        <v>261</v>
      </c>
      <c r="D573" s="1">
        <v>18</v>
      </c>
      <c r="E573" s="1">
        <v>34.200000000000003</v>
      </c>
      <c r="F573" s="24">
        <f t="shared" si="13"/>
        <v>10.193133047210301</v>
      </c>
    </row>
    <row r="574" spans="2:6" x14ac:dyDescent="0.25">
      <c r="B574" s="1" t="s">
        <v>327</v>
      </c>
      <c r="C574" s="1" t="s">
        <v>261</v>
      </c>
      <c r="D574" s="1">
        <v>83</v>
      </c>
      <c r="E574" s="1">
        <v>83</v>
      </c>
      <c r="F574" s="24">
        <f t="shared" si="13"/>
        <v>24.737720553171197</v>
      </c>
    </row>
    <row r="575" spans="2:6" x14ac:dyDescent="0.25">
      <c r="B575" s="1" t="s">
        <v>322</v>
      </c>
      <c r="C575" s="1" t="s">
        <v>261</v>
      </c>
      <c r="D575" s="1">
        <v>130</v>
      </c>
      <c r="E575" s="1">
        <v>156</v>
      </c>
      <c r="F575" s="24">
        <f t="shared" si="13"/>
        <v>46.49499284692417</v>
      </c>
    </row>
    <row r="576" spans="2:6" x14ac:dyDescent="0.25">
      <c r="B576" s="1" t="s">
        <v>323</v>
      </c>
      <c r="C576" s="1" t="s">
        <v>261</v>
      </c>
      <c r="D576" s="1">
        <v>140</v>
      </c>
      <c r="E576" s="1">
        <v>140</v>
      </c>
      <c r="F576" s="24">
        <f t="shared" si="13"/>
        <v>41.726275631855025</v>
      </c>
    </row>
    <row r="577" spans="2:6" x14ac:dyDescent="0.25">
      <c r="B577" s="1"/>
      <c r="C577" s="1"/>
      <c r="D577" s="1"/>
      <c r="E577" s="1"/>
      <c r="F577" s="24">
        <f t="shared" si="13"/>
        <v>0</v>
      </c>
    </row>
    <row r="578" spans="2:6" x14ac:dyDescent="0.25">
      <c r="B578" s="1"/>
      <c r="C578" s="1"/>
      <c r="D578" s="1"/>
      <c r="E578" s="1"/>
      <c r="F578" s="24">
        <f t="shared" si="13"/>
        <v>0</v>
      </c>
    </row>
    <row r="579" spans="2:6" x14ac:dyDescent="0.25">
      <c r="B579" s="1"/>
      <c r="C579" s="1"/>
      <c r="D579" s="1"/>
      <c r="E579" s="1"/>
      <c r="F579" s="24">
        <f t="shared" si="13"/>
        <v>0</v>
      </c>
    </row>
    <row r="580" spans="2:6" x14ac:dyDescent="0.25">
      <c r="B580" s="1"/>
      <c r="C580" s="1"/>
      <c r="D580" s="1"/>
      <c r="E580" s="1"/>
      <c r="F580" s="24">
        <f t="shared" si="13"/>
        <v>0</v>
      </c>
    </row>
    <row r="581" spans="2:6" x14ac:dyDescent="0.25">
      <c r="B581" s="10" t="s">
        <v>20</v>
      </c>
      <c r="C581" s="1"/>
      <c r="D581" s="1"/>
      <c r="E581" s="4">
        <f>SUM(E568:E580)</f>
        <v>601.9</v>
      </c>
      <c r="F581" s="22">
        <f>SUM(F568:F580)</f>
        <v>179.39318073438244</v>
      </c>
    </row>
    <row r="582" spans="2:6" x14ac:dyDescent="0.25">
      <c r="B582" s="4" t="s">
        <v>22</v>
      </c>
      <c r="C582" s="6"/>
      <c r="D582" s="6"/>
      <c r="E582" s="6"/>
      <c r="F582" s="23">
        <f>F566+F581</f>
        <v>196.32318073438245</v>
      </c>
    </row>
    <row r="583" spans="2:6" x14ac:dyDescent="0.25">
      <c r="B583" s="7"/>
      <c r="C583" s="7"/>
      <c r="D583" s="7"/>
      <c r="E583" s="7"/>
      <c r="F583" s="7"/>
    </row>
    <row r="584" spans="2:6" x14ac:dyDescent="0.25">
      <c r="B584" s="13"/>
      <c r="C584" s="13"/>
      <c r="D584" s="13"/>
      <c r="E584" s="13"/>
      <c r="F584" s="13"/>
    </row>
    <row r="585" spans="2:6" x14ac:dyDescent="0.25">
      <c r="B585" s="13"/>
      <c r="C585" s="13"/>
      <c r="D585" s="13"/>
      <c r="E585" s="13"/>
      <c r="F585" s="13"/>
    </row>
    <row r="586" spans="2:6" x14ac:dyDescent="0.25">
      <c r="B586" s="39" t="s">
        <v>23</v>
      </c>
      <c r="C586" s="38"/>
      <c r="D586" s="38"/>
      <c r="E586" s="39" t="s">
        <v>24</v>
      </c>
      <c r="F586" s="38"/>
    </row>
    <row r="588" spans="2:6" ht="33" customHeight="1" x14ac:dyDescent="0.25">
      <c r="B588" s="37" t="s">
        <v>124</v>
      </c>
      <c r="C588" s="37"/>
      <c r="D588" s="37"/>
      <c r="E588" s="37"/>
      <c r="F588" s="37"/>
    </row>
    <row r="589" spans="2:6" ht="31.15" customHeight="1" x14ac:dyDescent="0.25">
      <c r="B589" s="37" t="s">
        <v>1</v>
      </c>
      <c r="C589" s="37"/>
      <c r="D589" s="37"/>
      <c r="E589" s="37"/>
      <c r="F589" s="37"/>
    </row>
    <row r="590" spans="2:6" x14ac:dyDescent="0.25">
      <c r="B590" s="14" t="s">
        <v>0</v>
      </c>
      <c r="C590" s="14"/>
      <c r="D590" s="14"/>
      <c r="E590" s="14"/>
      <c r="F590" s="14"/>
    </row>
    <row r="591" spans="2:6" x14ac:dyDescent="0.25">
      <c r="B591" s="12"/>
      <c r="C591" s="38" t="s">
        <v>25</v>
      </c>
      <c r="D591" s="38"/>
      <c r="E591" s="12">
        <v>277.3</v>
      </c>
      <c r="F591" s="12" t="s">
        <v>26</v>
      </c>
    </row>
    <row r="593" spans="2:6" ht="60" x14ac:dyDescent="0.25">
      <c r="B593" s="1" t="s">
        <v>2</v>
      </c>
      <c r="C593" s="1" t="s">
        <v>4</v>
      </c>
      <c r="D593" s="1" t="s">
        <v>3</v>
      </c>
      <c r="E593" s="1" t="s">
        <v>447</v>
      </c>
      <c r="F593" s="1" t="s">
        <v>5</v>
      </c>
    </row>
    <row r="594" spans="2:6" x14ac:dyDescent="0.25">
      <c r="B594" s="1"/>
      <c r="C594" s="1"/>
      <c r="D594" s="1"/>
      <c r="E594" s="1"/>
      <c r="F594" s="1"/>
    </row>
    <row r="595" spans="2:6" x14ac:dyDescent="0.25">
      <c r="B595" s="3" t="s">
        <v>6</v>
      </c>
      <c r="C595" s="1"/>
      <c r="D595" s="1"/>
      <c r="E595" s="1"/>
      <c r="F595" s="1"/>
    </row>
    <row r="596" spans="2:6" x14ac:dyDescent="0.25">
      <c r="B596" s="5" t="s">
        <v>7</v>
      </c>
      <c r="C596" s="1"/>
      <c r="D596" s="1"/>
      <c r="E596" s="1"/>
      <c r="F596" s="5">
        <v>2.0099999999999998</v>
      </c>
    </row>
    <row r="597" spans="2:6" x14ac:dyDescent="0.25">
      <c r="B597" s="5" t="s">
        <v>8</v>
      </c>
      <c r="C597" s="1"/>
      <c r="D597" s="1"/>
      <c r="E597" s="1"/>
      <c r="F597" s="5">
        <v>5.34</v>
      </c>
    </row>
    <row r="598" spans="2:6" ht="24.75" x14ac:dyDescent="0.25">
      <c r="B598" s="5" t="s">
        <v>11</v>
      </c>
      <c r="C598" s="1"/>
      <c r="D598" s="1"/>
      <c r="E598" s="1"/>
      <c r="F598" s="5">
        <v>0.55000000000000004</v>
      </c>
    </row>
    <row r="599" spans="2:6" ht="24.75" x14ac:dyDescent="0.25">
      <c r="B599" s="5" t="s">
        <v>12</v>
      </c>
      <c r="C599" s="1"/>
      <c r="D599" s="1"/>
      <c r="E599" s="1"/>
      <c r="F599" s="5">
        <v>0.53</v>
      </c>
    </row>
    <row r="600" spans="2:6" ht="24.75" x14ac:dyDescent="0.25">
      <c r="B600" s="5" t="s">
        <v>13</v>
      </c>
      <c r="C600" s="1"/>
      <c r="D600" s="1"/>
      <c r="E600" s="1"/>
      <c r="F600" s="5">
        <v>0.19</v>
      </c>
    </row>
    <row r="601" spans="2:6" ht="24.75" x14ac:dyDescent="0.25">
      <c r="B601" s="5" t="s">
        <v>14</v>
      </c>
      <c r="C601" s="1"/>
      <c r="D601" s="1"/>
      <c r="E601" s="1"/>
      <c r="F601" s="5">
        <v>1.25</v>
      </c>
    </row>
    <row r="602" spans="2:6" ht="24.75" x14ac:dyDescent="0.25">
      <c r="B602" s="5" t="s">
        <v>9</v>
      </c>
      <c r="C602" s="1"/>
      <c r="D602" s="1"/>
      <c r="E602" s="1"/>
      <c r="F602" s="5">
        <v>0.26</v>
      </c>
    </row>
    <row r="603" spans="2:6" ht="24.75" x14ac:dyDescent="0.25">
      <c r="B603" s="5" t="s">
        <v>15</v>
      </c>
      <c r="C603" s="1"/>
      <c r="D603" s="1"/>
      <c r="E603" s="1"/>
      <c r="F603" s="5">
        <v>0.27</v>
      </c>
    </row>
    <row r="604" spans="2:6" ht="24.75" x14ac:dyDescent="0.25">
      <c r="B604" s="5" t="s">
        <v>16</v>
      </c>
      <c r="C604" s="1"/>
      <c r="D604" s="1"/>
      <c r="E604" s="1"/>
      <c r="F604" s="5">
        <v>0.28999999999999998</v>
      </c>
    </row>
    <row r="605" spans="2:6" x14ac:dyDescent="0.25">
      <c r="B605" s="5" t="s">
        <v>17</v>
      </c>
      <c r="C605" s="1"/>
      <c r="D605" s="1"/>
      <c r="E605" s="1"/>
      <c r="F605" s="5">
        <v>0.32</v>
      </c>
    </row>
    <row r="606" spans="2:6" x14ac:dyDescent="0.25">
      <c r="B606" s="5" t="s">
        <v>18</v>
      </c>
      <c r="C606" s="1"/>
      <c r="D606" s="1"/>
      <c r="E606" s="1"/>
      <c r="F606" s="5">
        <v>1.97</v>
      </c>
    </row>
    <row r="607" spans="2:6" x14ac:dyDescent="0.25">
      <c r="B607" s="5" t="s">
        <v>19</v>
      </c>
      <c r="C607" s="1"/>
      <c r="D607" s="1"/>
      <c r="E607" s="1"/>
      <c r="F607" s="5">
        <v>3.95</v>
      </c>
    </row>
    <row r="608" spans="2:6" x14ac:dyDescent="0.25">
      <c r="B608" s="10" t="s">
        <v>20</v>
      </c>
      <c r="C608" s="1"/>
      <c r="D608" s="1"/>
      <c r="E608" s="1"/>
      <c r="F608" s="4">
        <f>SUM(F596:F607)</f>
        <v>16.93</v>
      </c>
    </row>
    <row r="609" spans="2:6" x14ac:dyDescent="0.25">
      <c r="B609" s="3" t="s">
        <v>21</v>
      </c>
      <c r="C609" s="1"/>
      <c r="D609" s="1"/>
      <c r="E609" s="1"/>
      <c r="F609" s="1"/>
    </row>
    <row r="610" spans="2:6" x14ac:dyDescent="0.25">
      <c r="B610" s="1" t="s">
        <v>327</v>
      </c>
      <c r="C610" s="1" t="s">
        <v>261</v>
      </c>
      <c r="D610" s="1">
        <v>127</v>
      </c>
      <c r="E610" s="1">
        <v>108</v>
      </c>
      <c r="F610" s="24">
        <f>E610/277.3*1000/12</f>
        <v>32.455824017309773</v>
      </c>
    </row>
    <row r="611" spans="2:6" x14ac:dyDescent="0.25">
      <c r="B611" s="1" t="s">
        <v>275</v>
      </c>
      <c r="C611" s="1" t="s">
        <v>26</v>
      </c>
      <c r="D611" s="1">
        <v>42</v>
      </c>
      <c r="E611" s="1">
        <v>63</v>
      </c>
      <c r="F611" s="24">
        <f t="shared" ref="F611:F622" si="14">E611/277.3*1000/12</f>
        <v>18.932564010097366</v>
      </c>
    </row>
    <row r="612" spans="2:6" x14ac:dyDescent="0.25">
      <c r="B612" s="1" t="s">
        <v>426</v>
      </c>
      <c r="C612" s="1" t="s">
        <v>261</v>
      </c>
      <c r="D612" s="1">
        <v>22</v>
      </c>
      <c r="E612" s="1">
        <v>28.6</v>
      </c>
      <c r="F612" s="24">
        <f t="shared" si="14"/>
        <v>8.5947830268061072</v>
      </c>
    </row>
    <row r="613" spans="2:6" x14ac:dyDescent="0.25">
      <c r="B613" s="1" t="s">
        <v>319</v>
      </c>
      <c r="C613" s="1" t="s">
        <v>261</v>
      </c>
      <c r="D613" s="1">
        <v>12</v>
      </c>
      <c r="E613" s="1">
        <v>15.6</v>
      </c>
      <c r="F613" s="24">
        <f t="shared" si="14"/>
        <v>4.6880634691669671</v>
      </c>
    </row>
    <row r="614" spans="2:6" x14ac:dyDescent="0.25">
      <c r="B614" s="1" t="s">
        <v>320</v>
      </c>
      <c r="C614" s="1" t="s">
        <v>261</v>
      </c>
      <c r="D614" s="1">
        <v>20</v>
      </c>
      <c r="E614" s="1">
        <v>38</v>
      </c>
      <c r="F614" s="24">
        <f t="shared" si="14"/>
        <v>11.419641783868252</v>
      </c>
    </row>
    <row r="615" spans="2:6" x14ac:dyDescent="0.25">
      <c r="B615" s="1" t="s">
        <v>325</v>
      </c>
      <c r="C615" s="1" t="s">
        <v>261</v>
      </c>
      <c r="D615" s="1">
        <v>9</v>
      </c>
      <c r="E615" s="1">
        <v>17.100000000000001</v>
      </c>
      <c r="F615" s="24">
        <f t="shared" si="14"/>
        <v>5.1388388027407146</v>
      </c>
    </row>
    <row r="616" spans="2:6" x14ac:dyDescent="0.25">
      <c r="B616" s="1" t="s">
        <v>322</v>
      </c>
      <c r="C616" s="1" t="s">
        <v>261</v>
      </c>
      <c r="D616" s="1">
        <v>130</v>
      </c>
      <c r="E616" s="1">
        <v>156</v>
      </c>
      <c r="F616" s="24">
        <f t="shared" si="14"/>
        <v>46.880634691669677</v>
      </c>
    </row>
    <row r="617" spans="2:6" x14ac:dyDescent="0.25">
      <c r="B617" s="1" t="s">
        <v>323</v>
      </c>
      <c r="C617" s="1" t="s">
        <v>261</v>
      </c>
      <c r="D617" s="1">
        <v>140</v>
      </c>
      <c r="E617" s="1">
        <v>140</v>
      </c>
      <c r="F617" s="24">
        <f t="shared" si="14"/>
        <v>42.072364466883037</v>
      </c>
    </row>
    <row r="618" spans="2:6" x14ac:dyDescent="0.25">
      <c r="B618" s="1"/>
      <c r="C618" s="1"/>
      <c r="D618" s="1"/>
      <c r="E618" s="1"/>
      <c r="F618" s="24">
        <f t="shared" si="14"/>
        <v>0</v>
      </c>
    </row>
    <row r="619" spans="2:6" x14ac:dyDescent="0.25">
      <c r="B619" s="1"/>
      <c r="C619" s="1"/>
      <c r="D619" s="1"/>
      <c r="E619" s="1"/>
      <c r="F619" s="24">
        <f t="shared" si="14"/>
        <v>0</v>
      </c>
    </row>
    <row r="620" spans="2:6" x14ac:dyDescent="0.25">
      <c r="B620" s="1"/>
      <c r="C620" s="1"/>
      <c r="D620" s="1"/>
      <c r="E620" s="1"/>
      <c r="F620" s="24">
        <f t="shared" si="14"/>
        <v>0</v>
      </c>
    </row>
    <row r="621" spans="2:6" x14ac:dyDescent="0.25">
      <c r="B621" s="1"/>
      <c r="C621" s="1"/>
      <c r="D621" s="1"/>
      <c r="E621" s="1"/>
      <c r="F621" s="24">
        <f t="shared" si="14"/>
        <v>0</v>
      </c>
    </row>
    <row r="622" spans="2:6" x14ac:dyDescent="0.25">
      <c r="B622" s="1"/>
      <c r="C622" s="1"/>
      <c r="D622" s="1"/>
      <c r="E622" s="1"/>
      <c r="F622" s="24">
        <f t="shared" si="14"/>
        <v>0</v>
      </c>
    </row>
    <row r="623" spans="2:6" x14ac:dyDescent="0.25">
      <c r="B623" s="10" t="s">
        <v>20</v>
      </c>
      <c r="C623" s="1"/>
      <c r="D623" s="1"/>
      <c r="E623" s="4">
        <f>SUM(E610:E622)</f>
        <v>566.29999999999995</v>
      </c>
      <c r="F623" s="22">
        <f>SUM(F610:F622)</f>
        <v>170.1827142685419</v>
      </c>
    </row>
    <row r="624" spans="2:6" x14ac:dyDescent="0.25">
      <c r="B624" s="4" t="s">
        <v>22</v>
      </c>
      <c r="C624" s="6"/>
      <c r="D624" s="6"/>
      <c r="E624" s="6"/>
      <c r="F624" s="23">
        <f>F608+F623</f>
        <v>187.11271426854191</v>
      </c>
    </row>
    <row r="625" spans="2:6" x14ac:dyDescent="0.25">
      <c r="B625" s="7"/>
      <c r="C625" s="7"/>
      <c r="D625" s="7"/>
      <c r="E625" s="7"/>
      <c r="F625" s="7"/>
    </row>
    <row r="626" spans="2:6" x14ac:dyDescent="0.25">
      <c r="B626" s="13"/>
      <c r="C626" s="13"/>
      <c r="D626" s="13"/>
      <c r="E626" s="13"/>
      <c r="F626" s="13"/>
    </row>
    <row r="627" spans="2:6" x14ac:dyDescent="0.25">
      <c r="B627" s="13"/>
      <c r="C627" s="13"/>
      <c r="D627" s="13"/>
      <c r="E627" s="13"/>
      <c r="F627" s="13"/>
    </row>
    <row r="628" spans="2:6" x14ac:dyDescent="0.25">
      <c r="B628" s="39" t="s">
        <v>23</v>
      </c>
      <c r="C628" s="38"/>
      <c r="D628" s="38"/>
      <c r="E628" s="39" t="s">
        <v>24</v>
      </c>
      <c r="F628" s="38"/>
    </row>
    <row r="631" spans="2:6" ht="40.9" customHeight="1" x14ac:dyDescent="0.25">
      <c r="B631" s="37" t="s">
        <v>125</v>
      </c>
      <c r="C631" s="37"/>
      <c r="D631" s="37"/>
      <c r="E631" s="37"/>
      <c r="F631" s="37"/>
    </row>
    <row r="632" spans="2:6" ht="30.6" customHeight="1" x14ac:dyDescent="0.25">
      <c r="B632" s="37" t="s">
        <v>1</v>
      </c>
      <c r="C632" s="37"/>
      <c r="D632" s="37"/>
      <c r="E632" s="37"/>
      <c r="F632" s="37"/>
    </row>
    <row r="633" spans="2:6" x14ac:dyDescent="0.25">
      <c r="B633" s="14" t="s">
        <v>0</v>
      </c>
      <c r="C633" s="14"/>
      <c r="D633" s="14"/>
      <c r="E633" s="14"/>
      <c r="F633" s="14"/>
    </row>
    <row r="634" spans="2:6" x14ac:dyDescent="0.25">
      <c r="B634" s="12"/>
      <c r="C634" s="38" t="s">
        <v>25</v>
      </c>
      <c r="D634" s="38"/>
      <c r="E634" s="12">
        <v>279.60000000000002</v>
      </c>
      <c r="F634" s="12" t="s">
        <v>26</v>
      </c>
    </row>
    <row r="636" spans="2:6" ht="60" x14ac:dyDescent="0.25">
      <c r="B636" s="1" t="s">
        <v>2</v>
      </c>
      <c r="C636" s="1" t="s">
        <v>4</v>
      </c>
      <c r="D636" s="1" t="s">
        <v>3</v>
      </c>
      <c r="E636" s="1" t="s">
        <v>447</v>
      </c>
      <c r="F636" s="1" t="s">
        <v>5</v>
      </c>
    </row>
    <row r="637" spans="2:6" x14ac:dyDescent="0.25">
      <c r="B637" s="1"/>
      <c r="C637" s="1"/>
      <c r="D637" s="1"/>
      <c r="E637" s="1"/>
      <c r="F637" s="1"/>
    </row>
    <row r="638" spans="2:6" x14ac:dyDescent="0.25">
      <c r="B638" s="3" t="s">
        <v>6</v>
      </c>
      <c r="C638" s="1"/>
      <c r="D638" s="1"/>
      <c r="E638" s="1"/>
      <c r="F638" s="1"/>
    </row>
    <row r="639" spans="2:6" x14ac:dyDescent="0.25">
      <c r="B639" s="5" t="s">
        <v>7</v>
      </c>
      <c r="C639" s="1"/>
      <c r="D639" s="1"/>
      <c r="E639" s="1"/>
      <c r="F639" s="5">
        <v>2.0099999999999998</v>
      </c>
    </row>
    <row r="640" spans="2:6" x14ac:dyDescent="0.25">
      <c r="B640" s="5" t="s">
        <v>8</v>
      </c>
      <c r="C640" s="1"/>
      <c r="D640" s="1"/>
      <c r="E640" s="1"/>
      <c r="F640" s="5">
        <v>5.34</v>
      </c>
    </row>
    <row r="641" spans="2:6" ht="24.75" x14ac:dyDescent="0.25">
      <c r="B641" s="5" t="s">
        <v>11</v>
      </c>
      <c r="C641" s="1"/>
      <c r="D641" s="1"/>
      <c r="E641" s="1"/>
      <c r="F641" s="5">
        <v>0.55000000000000004</v>
      </c>
    </row>
    <row r="642" spans="2:6" ht="24.75" x14ac:dyDescent="0.25">
      <c r="B642" s="5" t="s">
        <v>12</v>
      </c>
      <c r="C642" s="1"/>
      <c r="D642" s="1"/>
      <c r="E642" s="1"/>
      <c r="F642" s="5">
        <v>0.53</v>
      </c>
    </row>
    <row r="643" spans="2:6" ht="24.75" x14ac:dyDescent="0.25">
      <c r="B643" s="5" t="s">
        <v>13</v>
      </c>
      <c r="C643" s="1"/>
      <c r="D643" s="1"/>
      <c r="E643" s="1"/>
      <c r="F643" s="5">
        <v>0.19</v>
      </c>
    </row>
    <row r="644" spans="2:6" ht="24.75" x14ac:dyDescent="0.25">
      <c r="B644" s="5" t="s">
        <v>14</v>
      </c>
      <c r="C644" s="1"/>
      <c r="D644" s="1"/>
      <c r="E644" s="1"/>
      <c r="F644" s="5">
        <v>1.25</v>
      </c>
    </row>
    <row r="645" spans="2:6" ht="24.75" x14ac:dyDescent="0.25">
      <c r="B645" s="5" t="s">
        <v>9</v>
      </c>
      <c r="C645" s="1"/>
      <c r="D645" s="1"/>
      <c r="E645" s="1"/>
      <c r="F645" s="5">
        <v>0.26</v>
      </c>
    </row>
    <row r="646" spans="2:6" ht="24.75" x14ac:dyDescent="0.25">
      <c r="B646" s="5" t="s">
        <v>15</v>
      </c>
      <c r="C646" s="1"/>
      <c r="D646" s="1"/>
      <c r="E646" s="1"/>
      <c r="F646" s="5">
        <v>0.27</v>
      </c>
    </row>
    <row r="647" spans="2:6" ht="24.75" x14ac:dyDescent="0.25">
      <c r="B647" s="5" t="s">
        <v>16</v>
      </c>
      <c r="C647" s="1"/>
      <c r="D647" s="1"/>
      <c r="E647" s="1"/>
      <c r="F647" s="5">
        <v>0.28999999999999998</v>
      </c>
    </row>
    <row r="648" spans="2:6" x14ac:dyDescent="0.25">
      <c r="B648" s="5" t="s">
        <v>17</v>
      </c>
      <c r="C648" s="1"/>
      <c r="D648" s="1"/>
      <c r="E648" s="1"/>
      <c r="F648" s="5">
        <v>0.32</v>
      </c>
    </row>
    <row r="649" spans="2:6" x14ac:dyDescent="0.25">
      <c r="B649" s="5" t="s">
        <v>18</v>
      </c>
      <c r="C649" s="1"/>
      <c r="D649" s="1"/>
      <c r="E649" s="1"/>
      <c r="F649" s="5">
        <v>1.97</v>
      </c>
    </row>
    <row r="650" spans="2:6" x14ac:dyDescent="0.25">
      <c r="B650" s="5" t="s">
        <v>19</v>
      </c>
      <c r="C650" s="1"/>
      <c r="D650" s="1"/>
      <c r="E650" s="1"/>
      <c r="F650" s="5">
        <v>3.95</v>
      </c>
    </row>
    <row r="651" spans="2:6" x14ac:dyDescent="0.25">
      <c r="B651" s="10" t="s">
        <v>20</v>
      </c>
      <c r="C651" s="1"/>
      <c r="D651" s="1"/>
      <c r="E651" s="1"/>
      <c r="F651" s="4">
        <f>SUM(F639:F650)</f>
        <v>16.93</v>
      </c>
    </row>
    <row r="652" spans="2:6" x14ac:dyDescent="0.25">
      <c r="B652" s="3" t="s">
        <v>21</v>
      </c>
      <c r="C652" s="1"/>
      <c r="D652" s="1"/>
      <c r="E652" s="1"/>
      <c r="F652" s="1"/>
    </row>
    <row r="653" spans="2:6" x14ac:dyDescent="0.25">
      <c r="B653" s="1" t="s">
        <v>317</v>
      </c>
      <c r="C653" s="1" t="s">
        <v>256</v>
      </c>
      <c r="D653" s="1">
        <v>1</v>
      </c>
      <c r="E653" s="1">
        <v>45</v>
      </c>
      <c r="F653" s="24">
        <f>E653/279.6*1000/12</f>
        <v>13.412017167381974</v>
      </c>
    </row>
    <row r="654" spans="2:6" x14ac:dyDescent="0.25">
      <c r="B654" s="1" t="s">
        <v>326</v>
      </c>
      <c r="C654" s="1" t="s">
        <v>26</v>
      </c>
      <c r="D654" s="1">
        <v>12</v>
      </c>
      <c r="E654" s="1">
        <v>18</v>
      </c>
      <c r="F654" s="24">
        <f t="shared" ref="F654:F665" si="15">E654/279.6*1000/12</f>
        <v>5.3648068669527893</v>
      </c>
    </row>
    <row r="655" spans="2:6" x14ac:dyDescent="0.25">
      <c r="B655" s="1" t="s">
        <v>272</v>
      </c>
      <c r="C655" s="1" t="s">
        <v>265</v>
      </c>
      <c r="D655" s="1">
        <v>1</v>
      </c>
      <c r="E655" s="1">
        <v>10</v>
      </c>
      <c r="F655" s="24">
        <f t="shared" si="15"/>
        <v>2.9804482594182162</v>
      </c>
    </row>
    <row r="656" spans="2:6" x14ac:dyDescent="0.25">
      <c r="B656" s="1" t="s">
        <v>275</v>
      </c>
      <c r="C656" s="1" t="s">
        <v>26</v>
      </c>
      <c r="D656" s="1">
        <v>58</v>
      </c>
      <c r="E656" s="1">
        <v>87</v>
      </c>
      <c r="F656" s="24">
        <f t="shared" si="15"/>
        <v>25.92989985693848</v>
      </c>
    </row>
    <row r="657" spans="2:6" x14ac:dyDescent="0.25">
      <c r="B657" s="1" t="s">
        <v>329</v>
      </c>
      <c r="C657" s="1" t="s">
        <v>26</v>
      </c>
      <c r="D657" s="1">
        <v>280</v>
      </c>
      <c r="E657" s="1">
        <v>336</v>
      </c>
      <c r="F657" s="24">
        <f t="shared" si="15"/>
        <v>100.14306151645206</v>
      </c>
    </row>
    <row r="658" spans="2:6" x14ac:dyDescent="0.25">
      <c r="B658" s="1" t="s">
        <v>390</v>
      </c>
      <c r="C658" s="1" t="s">
        <v>261</v>
      </c>
      <c r="D658" s="1">
        <v>22</v>
      </c>
      <c r="E658" s="1">
        <v>28.6</v>
      </c>
      <c r="F658" s="24">
        <f t="shared" si="15"/>
        <v>8.5240820219360991</v>
      </c>
    </row>
    <row r="659" spans="2:6" x14ac:dyDescent="0.25">
      <c r="B659" s="1" t="s">
        <v>319</v>
      </c>
      <c r="C659" s="1" t="s">
        <v>261</v>
      </c>
      <c r="D659" s="1">
        <v>12</v>
      </c>
      <c r="E659" s="1">
        <v>15.6</v>
      </c>
      <c r="F659" s="24">
        <f t="shared" si="15"/>
        <v>4.6494992846924177</v>
      </c>
    </row>
    <row r="660" spans="2:6" x14ac:dyDescent="0.25">
      <c r="B660" s="1" t="s">
        <v>320</v>
      </c>
      <c r="C660" s="1" t="s">
        <v>261</v>
      </c>
      <c r="D660" s="1">
        <v>17</v>
      </c>
      <c r="E660" s="1">
        <v>32.299999999999997</v>
      </c>
      <c r="F660" s="24">
        <f t="shared" si="15"/>
        <v>9.626847877920838</v>
      </c>
    </row>
    <row r="661" spans="2:6" x14ac:dyDescent="0.25">
      <c r="B661" s="1" t="s">
        <v>325</v>
      </c>
      <c r="C661" s="1" t="s">
        <v>261</v>
      </c>
      <c r="D661" s="1">
        <v>15</v>
      </c>
      <c r="E661" s="1">
        <v>28.5</v>
      </c>
      <c r="F661" s="24">
        <f t="shared" si="15"/>
        <v>8.4942775393419172</v>
      </c>
    </row>
    <row r="662" spans="2:6" x14ac:dyDescent="0.25">
      <c r="B662" s="1" t="s">
        <v>343</v>
      </c>
      <c r="C662" s="1" t="s">
        <v>256</v>
      </c>
      <c r="D662" s="1">
        <v>1</v>
      </c>
      <c r="E662" s="1">
        <v>55</v>
      </c>
      <c r="F662" s="24">
        <f t="shared" si="15"/>
        <v>16.392465426800189</v>
      </c>
    </row>
    <row r="663" spans="2:6" x14ac:dyDescent="0.25">
      <c r="B663" s="1" t="s">
        <v>322</v>
      </c>
      <c r="C663" s="1" t="s">
        <v>261</v>
      </c>
      <c r="D663" s="1">
        <v>130</v>
      </c>
      <c r="E663" s="1">
        <v>156</v>
      </c>
      <c r="F663" s="24">
        <f t="shared" si="15"/>
        <v>46.49499284692417</v>
      </c>
    </row>
    <row r="664" spans="2:6" x14ac:dyDescent="0.25">
      <c r="B664" s="1" t="s">
        <v>323</v>
      </c>
      <c r="C664" s="1" t="s">
        <v>261</v>
      </c>
      <c r="D664" s="1">
        <v>140</v>
      </c>
      <c r="E664" s="1">
        <v>140</v>
      </c>
      <c r="F664" s="24">
        <f t="shared" si="15"/>
        <v>41.726275631855025</v>
      </c>
    </row>
    <row r="665" spans="2:6" x14ac:dyDescent="0.25">
      <c r="B665" s="1" t="s">
        <v>327</v>
      </c>
      <c r="C665" s="1" t="s">
        <v>261</v>
      </c>
      <c r="D665" s="1">
        <v>100</v>
      </c>
      <c r="E665" s="1">
        <v>100</v>
      </c>
      <c r="F665" s="24">
        <f t="shared" si="15"/>
        <v>29.804482594182165</v>
      </c>
    </row>
    <row r="666" spans="2:6" x14ac:dyDescent="0.25">
      <c r="B666" s="10" t="s">
        <v>20</v>
      </c>
      <c r="C666" s="1"/>
      <c r="D666" s="1"/>
      <c r="E666" s="4">
        <f>SUM(E653:E665)</f>
        <v>1052</v>
      </c>
      <c r="F666" s="22">
        <f>SUM(F653:F665)</f>
        <v>313.5431568907963</v>
      </c>
    </row>
    <row r="667" spans="2:6" x14ac:dyDescent="0.25">
      <c r="B667" s="4" t="s">
        <v>22</v>
      </c>
      <c r="C667" s="6"/>
      <c r="D667" s="6"/>
      <c r="E667" s="6"/>
      <c r="F667" s="23">
        <f>F651+F666</f>
        <v>330.4731568907963</v>
      </c>
    </row>
    <row r="668" spans="2:6" x14ac:dyDescent="0.25">
      <c r="B668" s="7"/>
      <c r="C668" s="7"/>
      <c r="D668" s="7"/>
      <c r="E668" s="7"/>
      <c r="F668" s="7"/>
    </row>
    <row r="669" spans="2:6" x14ac:dyDescent="0.25">
      <c r="B669" s="13"/>
      <c r="C669" s="13"/>
      <c r="D669" s="13"/>
      <c r="E669" s="13"/>
      <c r="F669" s="13"/>
    </row>
    <row r="670" spans="2:6" x14ac:dyDescent="0.25">
      <c r="B670" s="13"/>
      <c r="C670" s="13"/>
      <c r="D670" s="13"/>
      <c r="E670" s="13"/>
      <c r="F670" s="13"/>
    </row>
    <row r="671" spans="2:6" x14ac:dyDescent="0.25">
      <c r="B671" s="39" t="s">
        <v>23</v>
      </c>
      <c r="C671" s="38"/>
      <c r="D671" s="38"/>
      <c r="E671" s="39" t="s">
        <v>24</v>
      </c>
      <c r="F671" s="38"/>
    </row>
    <row r="673" spans="2:6" ht="28.15" customHeight="1" x14ac:dyDescent="0.25">
      <c r="B673" s="37" t="s">
        <v>126</v>
      </c>
      <c r="C673" s="37"/>
      <c r="D673" s="37"/>
      <c r="E673" s="37"/>
      <c r="F673" s="37"/>
    </row>
    <row r="674" spans="2:6" ht="34.9" customHeight="1" x14ac:dyDescent="0.25">
      <c r="B674" s="37" t="s">
        <v>1</v>
      </c>
      <c r="C674" s="37"/>
      <c r="D674" s="37"/>
      <c r="E674" s="37"/>
      <c r="F674" s="37"/>
    </row>
    <row r="675" spans="2:6" x14ac:dyDescent="0.25">
      <c r="B675" s="14" t="s">
        <v>0</v>
      </c>
      <c r="C675" s="14"/>
      <c r="D675" s="14"/>
      <c r="E675" s="14"/>
      <c r="F675" s="14"/>
    </row>
    <row r="676" spans="2:6" x14ac:dyDescent="0.25">
      <c r="B676" s="12"/>
      <c r="C676" s="38" t="s">
        <v>25</v>
      </c>
      <c r="D676" s="38"/>
      <c r="E676" s="12">
        <v>275.3</v>
      </c>
      <c r="F676" s="12" t="s">
        <v>26</v>
      </c>
    </row>
    <row r="678" spans="2:6" ht="60" x14ac:dyDescent="0.25">
      <c r="B678" s="1" t="s">
        <v>2</v>
      </c>
      <c r="C678" s="1" t="s">
        <v>4</v>
      </c>
      <c r="D678" s="1" t="s">
        <v>3</v>
      </c>
      <c r="E678" s="1" t="s">
        <v>447</v>
      </c>
      <c r="F678" s="1" t="s">
        <v>5</v>
      </c>
    </row>
    <row r="679" spans="2:6" x14ac:dyDescent="0.25">
      <c r="B679" s="1"/>
      <c r="C679" s="1"/>
      <c r="D679" s="1"/>
      <c r="E679" s="1"/>
      <c r="F679" s="1"/>
    </row>
    <row r="680" spans="2:6" x14ac:dyDescent="0.25">
      <c r="B680" s="3" t="s">
        <v>6</v>
      </c>
      <c r="C680" s="1"/>
      <c r="D680" s="1"/>
      <c r="E680" s="1"/>
      <c r="F680" s="1"/>
    </row>
    <row r="681" spans="2:6" x14ac:dyDescent="0.25">
      <c r="B681" s="5" t="s">
        <v>7</v>
      </c>
      <c r="C681" s="1"/>
      <c r="D681" s="1"/>
      <c r="E681" s="1"/>
      <c r="F681" s="5">
        <v>2.0099999999999998</v>
      </c>
    </row>
    <row r="682" spans="2:6" x14ac:dyDescent="0.25">
      <c r="B682" s="5" t="s">
        <v>8</v>
      </c>
      <c r="C682" s="1"/>
      <c r="D682" s="1"/>
      <c r="E682" s="1"/>
      <c r="F682" s="5">
        <v>5.34</v>
      </c>
    </row>
    <row r="683" spans="2:6" ht="24.75" x14ac:dyDescent="0.25">
      <c r="B683" s="5" t="s">
        <v>11</v>
      </c>
      <c r="C683" s="1"/>
      <c r="D683" s="1"/>
      <c r="E683" s="1"/>
      <c r="F683" s="5">
        <v>0.55000000000000004</v>
      </c>
    </row>
    <row r="684" spans="2:6" ht="24.75" x14ac:dyDescent="0.25">
      <c r="B684" s="5" t="s">
        <v>12</v>
      </c>
      <c r="C684" s="1"/>
      <c r="D684" s="1"/>
      <c r="E684" s="1"/>
      <c r="F684" s="5">
        <v>0.53</v>
      </c>
    </row>
    <row r="685" spans="2:6" ht="24.75" x14ac:dyDescent="0.25">
      <c r="B685" s="5" t="s">
        <v>13</v>
      </c>
      <c r="C685" s="1"/>
      <c r="D685" s="1"/>
      <c r="E685" s="1"/>
      <c r="F685" s="5">
        <v>0.19</v>
      </c>
    </row>
    <row r="686" spans="2:6" ht="24.75" x14ac:dyDescent="0.25">
      <c r="B686" s="5" t="s">
        <v>9</v>
      </c>
      <c r="C686" s="1"/>
      <c r="D686" s="1"/>
      <c r="E686" s="1"/>
      <c r="F686" s="5">
        <v>0.26</v>
      </c>
    </row>
    <row r="687" spans="2:6" ht="24.75" x14ac:dyDescent="0.25">
      <c r="B687" s="5" t="s">
        <v>15</v>
      </c>
      <c r="C687" s="1"/>
      <c r="D687" s="1"/>
      <c r="E687" s="1"/>
      <c r="F687" s="5">
        <v>0.27</v>
      </c>
    </row>
    <row r="688" spans="2:6" ht="24.75" x14ac:dyDescent="0.25">
      <c r="B688" s="5" t="s">
        <v>16</v>
      </c>
      <c r="C688" s="1"/>
      <c r="D688" s="1"/>
      <c r="E688" s="1"/>
      <c r="F688" s="5">
        <v>0.28999999999999998</v>
      </c>
    </row>
    <row r="689" spans="2:6" x14ac:dyDescent="0.25">
      <c r="B689" s="5" t="s">
        <v>17</v>
      </c>
      <c r="C689" s="1"/>
      <c r="D689" s="1"/>
      <c r="E689" s="1"/>
      <c r="F689" s="5">
        <v>0.32</v>
      </c>
    </row>
    <row r="690" spans="2:6" x14ac:dyDescent="0.25">
      <c r="B690" s="5" t="s">
        <v>18</v>
      </c>
      <c r="C690" s="1"/>
      <c r="D690" s="1"/>
      <c r="E690" s="1"/>
      <c r="F690" s="5">
        <v>1.97</v>
      </c>
    </row>
    <row r="691" spans="2:6" x14ac:dyDescent="0.25">
      <c r="B691" s="5" t="s">
        <v>19</v>
      </c>
      <c r="C691" s="1"/>
      <c r="D691" s="1"/>
      <c r="E691" s="1"/>
      <c r="F691" s="5">
        <v>3.95</v>
      </c>
    </row>
    <row r="692" spans="2:6" x14ac:dyDescent="0.25">
      <c r="B692" s="10" t="s">
        <v>20</v>
      </c>
      <c r="C692" s="1"/>
      <c r="D692" s="1"/>
      <c r="E692" s="1"/>
      <c r="F692" s="4">
        <f>SUM(F681:F691)</f>
        <v>15.68</v>
      </c>
    </row>
    <row r="693" spans="2:6" x14ac:dyDescent="0.25">
      <c r="B693" s="3" t="s">
        <v>21</v>
      </c>
      <c r="C693" s="1"/>
      <c r="D693" s="1"/>
      <c r="E693" s="1"/>
      <c r="F693" s="1"/>
    </row>
    <row r="694" spans="2:6" x14ac:dyDescent="0.25">
      <c r="B694" s="1" t="s">
        <v>326</v>
      </c>
      <c r="C694" s="1" t="s">
        <v>26</v>
      </c>
      <c r="D694" s="1">
        <v>14</v>
      </c>
      <c r="E694" s="1">
        <v>21</v>
      </c>
      <c r="F694" s="24">
        <f>E694/275.3*1000/12</f>
        <v>6.3567017798764986</v>
      </c>
    </row>
    <row r="695" spans="2:6" x14ac:dyDescent="0.25">
      <c r="B695" s="1" t="s">
        <v>327</v>
      </c>
      <c r="C695" s="1" t="s">
        <v>261</v>
      </c>
      <c r="D695" s="1">
        <v>106</v>
      </c>
      <c r="E695" s="1">
        <v>106</v>
      </c>
      <c r="F695" s="24">
        <f t="shared" ref="F695:F705" si="16">E695/275.3*1000/12</f>
        <v>32.086208984138516</v>
      </c>
    </row>
    <row r="696" spans="2:6" x14ac:dyDescent="0.25">
      <c r="B696" s="1" t="s">
        <v>275</v>
      </c>
      <c r="C696" s="1" t="s">
        <v>26</v>
      </c>
      <c r="D696" s="1">
        <v>56</v>
      </c>
      <c r="E696" s="1">
        <v>84</v>
      </c>
      <c r="F696" s="24">
        <f t="shared" si="16"/>
        <v>25.426807119505995</v>
      </c>
    </row>
    <row r="697" spans="2:6" x14ac:dyDescent="0.25">
      <c r="B697" s="1" t="s">
        <v>318</v>
      </c>
      <c r="C697" s="1" t="s">
        <v>26</v>
      </c>
      <c r="D697" s="1">
        <v>40</v>
      </c>
      <c r="E697" s="1">
        <v>24</v>
      </c>
      <c r="F697" s="24">
        <f t="shared" si="16"/>
        <v>7.2648020341445685</v>
      </c>
    </row>
    <row r="698" spans="2:6" x14ac:dyDescent="0.25">
      <c r="B698" s="1" t="s">
        <v>319</v>
      </c>
      <c r="C698" s="1" t="s">
        <v>261</v>
      </c>
      <c r="D698" s="1">
        <v>12</v>
      </c>
      <c r="E698" s="1">
        <v>15.6</v>
      </c>
      <c r="F698" s="24">
        <f t="shared" si="16"/>
        <v>4.7221213221939697</v>
      </c>
    </row>
    <row r="699" spans="2:6" x14ac:dyDescent="0.25">
      <c r="B699" s="1" t="s">
        <v>320</v>
      </c>
      <c r="C699" s="1" t="s">
        <v>261</v>
      </c>
      <c r="D699" s="1">
        <v>18</v>
      </c>
      <c r="E699" s="1">
        <v>34.200000000000003</v>
      </c>
      <c r="F699" s="24">
        <f t="shared" si="16"/>
        <v>10.352342898656012</v>
      </c>
    </row>
    <row r="700" spans="2:6" x14ac:dyDescent="0.25">
      <c r="B700" s="1" t="s">
        <v>325</v>
      </c>
      <c r="C700" s="1" t="s">
        <v>261</v>
      </c>
      <c r="D700" s="1">
        <v>15</v>
      </c>
      <c r="E700" s="1">
        <v>28.5</v>
      </c>
      <c r="F700" s="24">
        <f t="shared" si="16"/>
        <v>8.6269524155466755</v>
      </c>
    </row>
    <row r="701" spans="2:6" x14ac:dyDescent="0.25">
      <c r="B701" s="1" t="s">
        <v>343</v>
      </c>
      <c r="C701" s="1" t="s">
        <v>256</v>
      </c>
      <c r="D701" s="1">
        <v>1</v>
      </c>
      <c r="E701" s="1">
        <v>55</v>
      </c>
      <c r="F701" s="24">
        <f t="shared" si="16"/>
        <v>16.648504661581306</v>
      </c>
    </row>
    <row r="702" spans="2:6" x14ac:dyDescent="0.25">
      <c r="B702" s="1" t="s">
        <v>322</v>
      </c>
      <c r="C702" s="1" t="s">
        <v>261</v>
      </c>
      <c r="D702" s="1">
        <v>130</v>
      </c>
      <c r="E702" s="1">
        <v>156</v>
      </c>
      <c r="F702" s="24">
        <f t="shared" si="16"/>
        <v>47.221213221939699</v>
      </c>
    </row>
    <row r="703" spans="2:6" x14ac:dyDescent="0.25">
      <c r="B703" s="1" t="s">
        <v>323</v>
      </c>
      <c r="C703" s="1" t="s">
        <v>261</v>
      </c>
      <c r="D703" s="1">
        <v>140</v>
      </c>
      <c r="E703" s="1">
        <v>140</v>
      </c>
      <c r="F703" s="24">
        <f t="shared" si="16"/>
        <v>42.378011865843312</v>
      </c>
    </row>
    <row r="704" spans="2:6" x14ac:dyDescent="0.25">
      <c r="B704" s="1"/>
      <c r="C704" s="1"/>
      <c r="D704" s="1"/>
      <c r="E704" s="1"/>
      <c r="F704" s="24">
        <f t="shared" si="16"/>
        <v>0</v>
      </c>
    </row>
    <row r="705" spans="2:6" x14ac:dyDescent="0.25">
      <c r="B705" s="1"/>
      <c r="C705" s="1"/>
      <c r="D705" s="1"/>
      <c r="E705" s="1"/>
      <c r="F705" s="24">
        <f t="shared" si="16"/>
        <v>0</v>
      </c>
    </row>
    <row r="706" spans="2:6" x14ac:dyDescent="0.25">
      <c r="B706" s="10" t="s">
        <v>20</v>
      </c>
      <c r="C706" s="1"/>
      <c r="D706" s="1"/>
      <c r="E706" s="4">
        <f>SUM(E694:E705)</f>
        <v>664.3</v>
      </c>
      <c r="F706" s="22">
        <f>SUM(F694:F705)</f>
        <v>201.08366630342655</v>
      </c>
    </row>
    <row r="707" spans="2:6" x14ac:dyDescent="0.25">
      <c r="B707" s="4" t="s">
        <v>22</v>
      </c>
      <c r="C707" s="6"/>
      <c r="D707" s="6"/>
      <c r="E707" s="6"/>
      <c r="F707" s="23">
        <f>F692+F706</f>
        <v>216.76366630342656</v>
      </c>
    </row>
    <row r="708" spans="2:6" x14ac:dyDescent="0.25">
      <c r="B708" s="7"/>
      <c r="C708" s="7"/>
      <c r="D708" s="7"/>
      <c r="E708" s="7"/>
      <c r="F708" s="7"/>
    </row>
    <row r="709" spans="2:6" x14ac:dyDescent="0.25">
      <c r="B709" s="13"/>
      <c r="C709" s="13"/>
      <c r="D709" s="13"/>
      <c r="E709" s="13"/>
      <c r="F709" s="13"/>
    </row>
    <row r="710" spans="2:6" x14ac:dyDescent="0.25">
      <c r="B710" s="13"/>
      <c r="C710" s="13"/>
      <c r="D710" s="13"/>
      <c r="E710" s="13"/>
      <c r="F710" s="13"/>
    </row>
    <row r="711" spans="2:6" x14ac:dyDescent="0.25">
      <c r="B711" s="39" t="s">
        <v>23</v>
      </c>
      <c r="C711" s="38"/>
      <c r="D711" s="38"/>
      <c r="E711" s="39" t="s">
        <v>24</v>
      </c>
      <c r="F711" s="38"/>
    </row>
    <row r="713" spans="2:6" ht="37.9" customHeight="1" x14ac:dyDescent="0.25">
      <c r="B713" s="37" t="s">
        <v>127</v>
      </c>
      <c r="C713" s="37"/>
      <c r="D713" s="37"/>
      <c r="E713" s="37"/>
      <c r="F713" s="37"/>
    </row>
    <row r="714" spans="2:6" ht="34.15" customHeight="1" x14ac:dyDescent="0.25">
      <c r="B714" s="37" t="s">
        <v>1</v>
      </c>
      <c r="C714" s="37"/>
      <c r="D714" s="37"/>
      <c r="E714" s="37"/>
      <c r="F714" s="37"/>
    </row>
    <row r="715" spans="2:6" x14ac:dyDescent="0.25">
      <c r="B715" s="14" t="s">
        <v>0</v>
      </c>
      <c r="C715" s="14"/>
      <c r="D715" s="14"/>
      <c r="E715" s="14"/>
      <c r="F715" s="14"/>
    </row>
    <row r="716" spans="2:6" x14ac:dyDescent="0.25">
      <c r="B716" s="12"/>
      <c r="C716" s="38" t="s">
        <v>25</v>
      </c>
      <c r="D716" s="38"/>
      <c r="E716" s="12">
        <v>282.8</v>
      </c>
      <c r="F716" s="12" t="s">
        <v>26</v>
      </c>
    </row>
    <row r="718" spans="2:6" ht="60" x14ac:dyDescent="0.25">
      <c r="B718" s="1" t="s">
        <v>2</v>
      </c>
      <c r="C718" s="1" t="s">
        <v>4</v>
      </c>
      <c r="D718" s="1" t="s">
        <v>3</v>
      </c>
      <c r="E718" s="1" t="s">
        <v>447</v>
      </c>
      <c r="F718" s="1" t="s">
        <v>5</v>
      </c>
    </row>
    <row r="719" spans="2:6" x14ac:dyDescent="0.25">
      <c r="B719" s="1"/>
      <c r="C719" s="1"/>
      <c r="D719" s="1"/>
      <c r="E719" s="1"/>
      <c r="F719" s="1"/>
    </row>
    <row r="720" spans="2:6" x14ac:dyDescent="0.25">
      <c r="B720" s="3" t="s">
        <v>6</v>
      </c>
      <c r="C720" s="1"/>
      <c r="D720" s="1"/>
      <c r="E720" s="1"/>
      <c r="F720" s="1"/>
    </row>
    <row r="721" spans="2:6" x14ac:dyDescent="0.25">
      <c r="B721" s="5" t="s">
        <v>7</v>
      </c>
      <c r="C721" s="1"/>
      <c r="D721" s="1"/>
      <c r="E721" s="1"/>
      <c r="F721" s="5">
        <v>2.0099999999999998</v>
      </c>
    </row>
    <row r="722" spans="2:6" x14ac:dyDescent="0.25">
      <c r="B722" s="5" t="s">
        <v>8</v>
      </c>
      <c r="C722" s="1"/>
      <c r="D722" s="1"/>
      <c r="E722" s="1"/>
      <c r="F722" s="5">
        <v>5.34</v>
      </c>
    </row>
    <row r="723" spans="2:6" ht="24.75" x14ac:dyDescent="0.25">
      <c r="B723" s="5" t="s">
        <v>11</v>
      </c>
      <c r="C723" s="1"/>
      <c r="D723" s="1"/>
      <c r="E723" s="1"/>
      <c r="F723" s="5">
        <v>0.55000000000000004</v>
      </c>
    </row>
    <row r="724" spans="2:6" ht="24.75" x14ac:dyDescent="0.25">
      <c r="B724" s="5" t="s">
        <v>12</v>
      </c>
      <c r="C724" s="1"/>
      <c r="D724" s="1"/>
      <c r="E724" s="1"/>
      <c r="F724" s="5">
        <v>0.53</v>
      </c>
    </row>
    <row r="725" spans="2:6" ht="24.75" x14ac:dyDescent="0.25">
      <c r="B725" s="5" t="s">
        <v>13</v>
      </c>
      <c r="C725" s="1"/>
      <c r="D725" s="1"/>
      <c r="E725" s="1"/>
      <c r="F725" s="5">
        <v>0.19</v>
      </c>
    </row>
    <row r="726" spans="2:6" ht="24.75" x14ac:dyDescent="0.25">
      <c r="B726" s="5" t="s">
        <v>14</v>
      </c>
      <c r="C726" s="1"/>
      <c r="D726" s="1"/>
      <c r="E726" s="1"/>
      <c r="F726" s="5">
        <v>1.25</v>
      </c>
    </row>
    <row r="727" spans="2:6" ht="24.75" x14ac:dyDescent="0.25">
      <c r="B727" s="5" t="s">
        <v>9</v>
      </c>
      <c r="C727" s="1"/>
      <c r="D727" s="1"/>
      <c r="E727" s="1"/>
      <c r="F727" s="5">
        <v>0.26</v>
      </c>
    </row>
    <row r="728" spans="2:6" ht="24.75" x14ac:dyDescent="0.25">
      <c r="B728" s="5" t="s">
        <v>15</v>
      </c>
      <c r="C728" s="1"/>
      <c r="D728" s="1"/>
      <c r="E728" s="1"/>
      <c r="F728" s="5">
        <v>0.27</v>
      </c>
    </row>
    <row r="729" spans="2:6" ht="24.75" x14ac:dyDescent="0.25">
      <c r="B729" s="5" t="s">
        <v>16</v>
      </c>
      <c r="C729" s="1"/>
      <c r="D729" s="1"/>
      <c r="E729" s="1"/>
      <c r="F729" s="5">
        <v>0.28999999999999998</v>
      </c>
    </row>
    <row r="730" spans="2:6" x14ac:dyDescent="0.25">
      <c r="B730" s="5" t="s">
        <v>17</v>
      </c>
      <c r="C730" s="1"/>
      <c r="D730" s="1"/>
      <c r="E730" s="1"/>
      <c r="F730" s="5">
        <v>0.32</v>
      </c>
    </row>
    <row r="731" spans="2:6" x14ac:dyDescent="0.25">
      <c r="B731" s="5" t="s">
        <v>18</v>
      </c>
      <c r="C731" s="1"/>
      <c r="D731" s="1"/>
      <c r="E731" s="1"/>
      <c r="F731" s="5">
        <v>1.97</v>
      </c>
    </row>
    <row r="732" spans="2:6" x14ac:dyDescent="0.25">
      <c r="B732" s="5" t="s">
        <v>19</v>
      </c>
      <c r="C732" s="1"/>
      <c r="D732" s="1"/>
      <c r="E732" s="1"/>
      <c r="F732" s="5">
        <v>3.95</v>
      </c>
    </row>
    <row r="733" spans="2:6" x14ac:dyDescent="0.25">
      <c r="B733" s="10" t="s">
        <v>20</v>
      </c>
      <c r="C733" s="1"/>
      <c r="D733" s="1"/>
      <c r="E733" s="1"/>
      <c r="F733" s="4">
        <f>SUM(F721:F732)</f>
        <v>16.93</v>
      </c>
    </row>
    <row r="734" spans="2:6" x14ac:dyDescent="0.25">
      <c r="B734" s="3" t="s">
        <v>21</v>
      </c>
      <c r="C734" s="1"/>
      <c r="D734" s="1"/>
      <c r="E734" s="1"/>
      <c r="F734" s="1"/>
    </row>
    <row r="735" spans="2:6" x14ac:dyDescent="0.25">
      <c r="B735" s="1" t="s">
        <v>326</v>
      </c>
      <c r="C735" s="1" t="s">
        <v>26</v>
      </c>
      <c r="D735" s="1">
        <v>16</v>
      </c>
      <c r="E735" s="1">
        <v>24</v>
      </c>
      <c r="F735" s="24">
        <f>E735/282.8*1000/12</f>
        <v>7.072135785007073</v>
      </c>
    </row>
    <row r="736" spans="2:6" x14ac:dyDescent="0.25">
      <c r="B736" s="1" t="s">
        <v>275</v>
      </c>
      <c r="C736" s="1" t="s">
        <v>26</v>
      </c>
      <c r="D736" s="1">
        <v>56</v>
      </c>
      <c r="E736" s="1">
        <v>84</v>
      </c>
      <c r="F736" s="24">
        <f t="shared" ref="F736:F747" si="17">E736/282.8*1000/12</f>
        <v>24.752475247524753</v>
      </c>
    </row>
    <row r="737" spans="2:6" x14ac:dyDescent="0.25">
      <c r="B737" s="1" t="s">
        <v>327</v>
      </c>
      <c r="C737" s="1" t="s">
        <v>261</v>
      </c>
      <c r="D737" s="1">
        <v>114</v>
      </c>
      <c r="E737" s="1">
        <v>114</v>
      </c>
      <c r="F737" s="24">
        <f t="shared" si="17"/>
        <v>33.592644978783589</v>
      </c>
    </row>
    <row r="738" spans="2:6" x14ac:dyDescent="0.25">
      <c r="B738" s="1" t="s">
        <v>390</v>
      </c>
      <c r="C738" s="1" t="s">
        <v>261</v>
      </c>
      <c r="D738" s="1">
        <v>22</v>
      </c>
      <c r="E738" s="1">
        <v>28.6</v>
      </c>
      <c r="F738" s="24">
        <f t="shared" si="17"/>
        <v>8.4276284771334264</v>
      </c>
    </row>
    <row r="739" spans="2:6" x14ac:dyDescent="0.25">
      <c r="B739" s="1" t="s">
        <v>319</v>
      </c>
      <c r="C739" s="1" t="s">
        <v>261</v>
      </c>
      <c r="D739" s="1">
        <v>12</v>
      </c>
      <c r="E739" s="1">
        <v>15.6</v>
      </c>
      <c r="F739" s="24">
        <f t="shared" si="17"/>
        <v>4.5968882602545964</v>
      </c>
    </row>
    <row r="740" spans="2:6" x14ac:dyDescent="0.25">
      <c r="B740" s="1" t="s">
        <v>320</v>
      </c>
      <c r="C740" s="1" t="s">
        <v>261</v>
      </c>
      <c r="D740" s="1">
        <v>18</v>
      </c>
      <c r="E740" s="1">
        <v>34.200000000000003</v>
      </c>
      <c r="F740" s="24">
        <f t="shared" si="17"/>
        <v>10.077793493635077</v>
      </c>
    </row>
    <row r="741" spans="2:6" x14ac:dyDescent="0.25">
      <c r="B741" s="1" t="s">
        <v>325</v>
      </c>
      <c r="C741" s="1" t="s">
        <v>261</v>
      </c>
      <c r="D741" s="1">
        <v>15</v>
      </c>
      <c r="E741" s="1">
        <v>28.5</v>
      </c>
      <c r="F741" s="24">
        <f t="shared" si="17"/>
        <v>8.3981612446958973</v>
      </c>
    </row>
    <row r="742" spans="2:6" x14ac:dyDescent="0.25">
      <c r="B742" s="1" t="s">
        <v>343</v>
      </c>
      <c r="C742" s="1" t="s">
        <v>256</v>
      </c>
      <c r="D742" s="1">
        <v>1</v>
      </c>
      <c r="E742" s="1">
        <v>55</v>
      </c>
      <c r="F742" s="24">
        <f t="shared" si="17"/>
        <v>16.206977840641205</v>
      </c>
    </row>
    <row r="743" spans="2:6" x14ac:dyDescent="0.25">
      <c r="B743" s="1" t="s">
        <v>322</v>
      </c>
      <c r="C743" s="1" t="s">
        <v>261</v>
      </c>
      <c r="D743" s="1">
        <v>130</v>
      </c>
      <c r="E743" s="1">
        <v>156</v>
      </c>
      <c r="F743" s="24">
        <f t="shared" si="17"/>
        <v>45.96888260254596</v>
      </c>
    </row>
    <row r="744" spans="2:6" x14ac:dyDescent="0.25">
      <c r="B744" s="1" t="s">
        <v>323</v>
      </c>
      <c r="C744" s="1" t="s">
        <v>261</v>
      </c>
      <c r="D744" s="1">
        <v>140</v>
      </c>
      <c r="E744" s="1">
        <v>140</v>
      </c>
      <c r="F744" s="24">
        <f t="shared" si="17"/>
        <v>41.254125412541249</v>
      </c>
    </row>
    <row r="745" spans="2:6" x14ac:dyDescent="0.25">
      <c r="B745" s="1"/>
      <c r="C745" s="1"/>
      <c r="D745" s="1"/>
      <c r="E745" s="1"/>
      <c r="F745" s="24">
        <f t="shared" si="17"/>
        <v>0</v>
      </c>
    </row>
    <row r="746" spans="2:6" x14ac:dyDescent="0.25">
      <c r="B746" s="1"/>
      <c r="C746" s="1"/>
      <c r="D746" s="1"/>
      <c r="E746" s="1"/>
      <c r="F746" s="24">
        <f t="shared" si="17"/>
        <v>0</v>
      </c>
    </row>
    <row r="747" spans="2:6" x14ac:dyDescent="0.25">
      <c r="B747" s="1"/>
      <c r="C747" s="1"/>
      <c r="D747" s="1"/>
      <c r="E747" s="1"/>
      <c r="F747" s="24">
        <f t="shared" si="17"/>
        <v>0</v>
      </c>
    </row>
    <row r="748" spans="2:6" x14ac:dyDescent="0.25">
      <c r="B748" s="10" t="s">
        <v>20</v>
      </c>
      <c r="C748" s="1"/>
      <c r="D748" s="1"/>
      <c r="E748" s="4">
        <f>SUM(E735:E747)</f>
        <v>679.9</v>
      </c>
      <c r="F748" s="22">
        <f>SUM(F735:F747)</f>
        <v>200.34771334276283</v>
      </c>
    </row>
    <row r="749" spans="2:6" x14ac:dyDescent="0.25">
      <c r="B749" s="4" t="s">
        <v>22</v>
      </c>
      <c r="C749" s="6"/>
      <c r="D749" s="6"/>
      <c r="E749" s="6"/>
      <c r="F749" s="23">
        <f>F733+F748</f>
        <v>217.27771334276284</v>
      </c>
    </row>
    <row r="750" spans="2:6" x14ac:dyDescent="0.25">
      <c r="B750" s="7"/>
      <c r="C750" s="7"/>
      <c r="D750" s="7"/>
      <c r="E750" s="7"/>
      <c r="F750" s="7"/>
    </row>
    <row r="751" spans="2:6" x14ac:dyDescent="0.25">
      <c r="B751" s="13"/>
      <c r="C751" s="13"/>
      <c r="D751" s="13"/>
      <c r="E751" s="13"/>
      <c r="F751" s="13"/>
    </row>
    <row r="752" spans="2:6" x14ac:dyDescent="0.25">
      <c r="B752" s="13"/>
      <c r="C752" s="13"/>
      <c r="D752" s="13"/>
      <c r="E752" s="13"/>
      <c r="F752" s="13"/>
    </row>
    <row r="753" spans="2:6" x14ac:dyDescent="0.25">
      <c r="B753" s="39" t="s">
        <v>23</v>
      </c>
      <c r="C753" s="38"/>
      <c r="D753" s="38"/>
      <c r="E753" s="39" t="s">
        <v>24</v>
      </c>
      <c r="F753" s="38"/>
    </row>
    <row r="755" spans="2:6" ht="28.9" customHeight="1" x14ac:dyDescent="0.25">
      <c r="B755" s="37" t="s">
        <v>128</v>
      </c>
      <c r="C755" s="37"/>
      <c r="D755" s="37"/>
      <c r="E755" s="37"/>
      <c r="F755" s="37"/>
    </row>
    <row r="756" spans="2:6" ht="31.9" customHeight="1" x14ac:dyDescent="0.25">
      <c r="B756" s="37" t="s">
        <v>1</v>
      </c>
      <c r="C756" s="37"/>
      <c r="D756" s="37"/>
      <c r="E756" s="37"/>
      <c r="F756" s="37"/>
    </row>
    <row r="757" spans="2:6" x14ac:dyDescent="0.25">
      <c r="B757" s="14" t="s">
        <v>0</v>
      </c>
      <c r="C757" s="14"/>
      <c r="D757" s="14"/>
      <c r="E757" s="14"/>
      <c r="F757" s="14"/>
    </row>
    <row r="758" spans="2:6" x14ac:dyDescent="0.25">
      <c r="B758" s="12"/>
      <c r="C758" s="38" t="s">
        <v>25</v>
      </c>
      <c r="D758" s="38"/>
      <c r="E758" s="12">
        <v>275</v>
      </c>
      <c r="F758" s="12" t="s">
        <v>26</v>
      </c>
    </row>
    <row r="760" spans="2:6" ht="60" x14ac:dyDescent="0.25">
      <c r="B760" s="1" t="s">
        <v>2</v>
      </c>
      <c r="C760" s="1" t="s">
        <v>4</v>
      </c>
      <c r="D760" s="1" t="s">
        <v>3</v>
      </c>
      <c r="E760" s="1" t="s">
        <v>447</v>
      </c>
      <c r="F760" s="1" t="s">
        <v>5</v>
      </c>
    </row>
    <row r="761" spans="2:6" x14ac:dyDescent="0.25">
      <c r="B761" s="1"/>
      <c r="C761" s="1"/>
      <c r="D761" s="1"/>
      <c r="E761" s="1"/>
      <c r="F761" s="1"/>
    </row>
    <row r="762" spans="2:6" x14ac:dyDescent="0.25">
      <c r="B762" s="3" t="s">
        <v>6</v>
      </c>
      <c r="C762" s="1"/>
      <c r="D762" s="1"/>
      <c r="E762" s="1"/>
      <c r="F762" s="1"/>
    </row>
    <row r="763" spans="2:6" x14ac:dyDescent="0.25">
      <c r="B763" s="5" t="s">
        <v>7</v>
      </c>
      <c r="C763" s="1"/>
      <c r="D763" s="1"/>
      <c r="E763" s="1"/>
      <c r="F763" s="5">
        <v>2.0099999999999998</v>
      </c>
    </row>
    <row r="764" spans="2:6" x14ac:dyDescent="0.25">
      <c r="B764" s="5" t="s">
        <v>8</v>
      </c>
      <c r="C764" s="1"/>
      <c r="D764" s="1"/>
      <c r="E764" s="1"/>
      <c r="F764" s="5">
        <v>5.34</v>
      </c>
    </row>
    <row r="765" spans="2:6" ht="24.75" x14ac:dyDescent="0.25">
      <c r="B765" s="5" t="s">
        <v>11</v>
      </c>
      <c r="C765" s="1"/>
      <c r="D765" s="1"/>
      <c r="E765" s="1"/>
      <c r="F765" s="5">
        <v>0.55000000000000004</v>
      </c>
    </row>
    <row r="766" spans="2:6" ht="24.75" x14ac:dyDescent="0.25">
      <c r="B766" s="5" t="s">
        <v>12</v>
      </c>
      <c r="C766" s="1"/>
      <c r="D766" s="1"/>
      <c r="E766" s="1"/>
      <c r="F766" s="5">
        <v>0.53</v>
      </c>
    </row>
    <row r="767" spans="2:6" ht="24.75" x14ac:dyDescent="0.25">
      <c r="B767" s="5" t="s">
        <v>13</v>
      </c>
      <c r="C767" s="1"/>
      <c r="D767" s="1"/>
      <c r="E767" s="1"/>
      <c r="F767" s="5">
        <v>0.19</v>
      </c>
    </row>
    <row r="768" spans="2:6" ht="24.75" x14ac:dyDescent="0.25">
      <c r="B768" s="5" t="s">
        <v>9</v>
      </c>
      <c r="C768" s="1"/>
      <c r="D768" s="1"/>
      <c r="E768" s="1"/>
      <c r="F768" s="5">
        <v>0.26</v>
      </c>
    </row>
    <row r="769" spans="2:6" ht="24.75" x14ac:dyDescent="0.25">
      <c r="B769" s="5" t="s">
        <v>15</v>
      </c>
      <c r="C769" s="1"/>
      <c r="D769" s="1"/>
      <c r="E769" s="1"/>
      <c r="F769" s="5">
        <v>0.27</v>
      </c>
    </row>
    <row r="770" spans="2:6" ht="24.75" x14ac:dyDescent="0.25">
      <c r="B770" s="5" t="s">
        <v>16</v>
      </c>
      <c r="C770" s="1"/>
      <c r="D770" s="1"/>
      <c r="E770" s="1"/>
      <c r="F770" s="5">
        <v>0.28999999999999998</v>
      </c>
    </row>
    <row r="771" spans="2:6" x14ac:dyDescent="0.25">
      <c r="B771" s="5" t="s">
        <v>17</v>
      </c>
      <c r="C771" s="1"/>
      <c r="D771" s="1"/>
      <c r="E771" s="1"/>
      <c r="F771" s="5">
        <v>0.32</v>
      </c>
    </row>
    <row r="772" spans="2:6" x14ac:dyDescent="0.25">
      <c r="B772" s="5" t="s">
        <v>18</v>
      </c>
      <c r="C772" s="1"/>
      <c r="D772" s="1"/>
      <c r="E772" s="1"/>
      <c r="F772" s="5">
        <v>1.97</v>
      </c>
    </row>
    <row r="773" spans="2:6" x14ac:dyDescent="0.25">
      <c r="B773" s="5" t="s">
        <v>19</v>
      </c>
      <c r="C773" s="1"/>
      <c r="D773" s="1"/>
      <c r="E773" s="1"/>
      <c r="F773" s="5">
        <v>3.95</v>
      </c>
    </row>
    <row r="774" spans="2:6" x14ac:dyDescent="0.25">
      <c r="B774" s="10" t="s">
        <v>20</v>
      </c>
      <c r="C774" s="1"/>
      <c r="D774" s="1"/>
      <c r="E774" s="1"/>
      <c r="F774" s="4">
        <f>SUM(F763:F773)</f>
        <v>15.68</v>
      </c>
    </row>
    <row r="775" spans="2:6" x14ac:dyDescent="0.25">
      <c r="B775" s="3" t="s">
        <v>21</v>
      </c>
      <c r="C775" s="1"/>
      <c r="D775" s="1"/>
      <c r="E775" s="1"/>
      <c r="F775" s="1"/>
    </row>
    <row r="776" spans="2:6" x14ac:dyDescent="0.25">
      <c r="B776" s="1" t="s">
        <v>317</v>
      </c>
      <c r="C776" s="1" t="s">
        <v>256</v>
      </c>
      <c r="D776" s="1">
        <v>1</v>
      </c>
      <c r="E776" s="1">
        <v>45</v>
      </c>
      <c r="F776" s="24">
        <f>E776/275*1000/12</f>
        <v>13.636363636363635</v>
      </c>
    </row>
    <row r="777" spans="2:6" x14ac:dyDescent="0.25">
      <c r="B777" s="1" t="s">
        <v>327</v>
      </c>
      <c r="C777" s="1" t="s">
        <v>261</v>
      </c>
      <c r="D777" s="1">
        <v>98</v>
      </c>
      <c r="E777" s="1">
        <v>98</v>
      </c>
      <c r="F777" s="24">
        <f t="shared" ref="F777:F788" si="18">E777/275*1000/12</f>
        <v>29.696969696969699</v>
      </c>
    </row>
    <row r="778" spans="2:6" x14ac:dyDescent="0.25">
      <c r="B778" s="1" t="s">
        <v>334</v>
      </c>
      <c r="C778" s="1" t="s">
        <v>265</v>
      </c>
      <c r="D778" s="1">
        <v>1</v>
      </c>
      <c r="E778" s="1">
        <v>10</v>
      </c>
      <c r="F778" s="24">
        <f t="shared" si="18"/>
        <v>3.0303030303030298</v>
      </c>
    </row>
    <row r="779" spans="2:6" x14ac:dyDescent="0.25">
      <c r="B779" s="1" t="s">
        <v>390</v>
      </c>
      <c r="C779" s="1" t="s">
        <v>261</v>
      </c>
      <c r="D779" s="1">
        <v>18</v>
      </c>
      <c r="E779" s="1">
        <v>23.4</v>
      </c>
      <c r="F779" s="24">
        <f t="shared" si="18"/>
        <v>7.0909090909090908</v>
      </c>
    </row>
    <row r="780" spans="2:6" x14ac:dyDescent="0.25">
      <c r="B780" s="1" t="s">
        <v>319</v>
      </c>
      <c r="C780" s="1" t="s">
        <v>261</v>
      </c>
      <c r="D780" s="1">
        <v>12</v>
      </c>
      <c r="E780" s="1">
        <v>15.6</v>
      </c>
      <c r="F780" s="24">
        <f t="shared" si="18"/>
        <v>4.7272727272727275</v>
      </c>
    </row>
    <row r="781" spans="2:6" x14ac:dyDescent="0.25">
      <c r="B781" s="1" t="s">
        <v>427</v>
      </c>
      <c r="C781" s="1" t="s">
        <v>261</v>
      </c>
      <c r="D781" s="1">
        <v>9</v>
      </c>
      <c r="E781" s="1">
        <v>17.100000000000001</v>
      </c>
      <c r="F781" s="24">
        <f t="shared" si="18"/>
        <v>5.1818181818181825</v>
      </c>
    </row>
    <row r="782" spans="2:6" x14ac:dyDescent="0.25">
      <c r="B782" s="1" t="s">
        <v>325</v>
      </c>
      <c r="C782" s="1" t="s">
        <v>261</v>
      </c>
      <c r="D782" s="1">
        <v>12</v>
      </c>
      <c r="E782" s="1">
        <v>22.8</v>
      </c>
      <c r="F782" s="24">
        <f t="shared" si="18"/>
        <v>6.9090909090909101</v>
      </c>
    </row>
    <row r="783" spans="2:6" x14ac:dyDescent="0.25">
      <c r="B783" s="1" t="s">
        <v>343</v>
      </c>
      <c r="C783" s="1" t="s">
        <v>256</v>
      </c>
      <c r="D783" s="1">
        <v>1</v>
      </c>
      <c r="E783" s="1">
        <v>55</v>
      </c>
      <c r="F783" s="24">
        <f t="shared" si="18"/>
        <v>16.666666666666668</v>
      </c>
    </row>
    <row r="784" spans="2:6" x14ac:dyDescent="0.25">
      <c r="B784" s="1" t="s">
        <v>322</v>
      </c>
      <c r="C784" s="1" t="s">
        <v>261</v>
      </c>
      <c r="D784" s="1">
        <v>130</v>
      </c>
      <c r="E784" s="1">
        <v>156</v>
      </c>
      <c r="F784" s="24">
        <f t="shared" si="18"/>
        <v>47.272727272727273</v>
      </c>
    </row>
    <row r="785" spans="2:6" x14ac:dyDescent="0.25">
      <c r="B785" s="1" t="s">
        <v>323</v>
      </c>
      <c r="C785" s="1" t="s">
        <v>261</v>
      </c>
      <c r="D785" s="1">
        <v>140</v>
      </c>
      <c r="E785" s="1">
        <v>140</v>
      </c>
      <c r="F785" s="24">
        <f t="shared" si="18"/>
        <v>42.424242424242422</v>
      </c>
    </row>
    <row r="786" spans="2:6" x14ac:dyDescent="0.25">
      <c r="B786" s="1" t="s">
        <v>428</v>
      </c>
      <c r="C786" s="1" t="s">
        <v>26</v>
      </c>
      <c r="D786" s="1">
        <v>59</v>
      </c>
      <c r="E786" s="1">
        <v>88.5</v>
      </c>
      <c r="F786" s="24">
        <f t="shared" si="18"/>
        <v>26.818181818181817</v>
      </c>
    </row>
    <row r="787" spans="2:6" x14ac:dyDescent="0.25">
      <c r="B787" s="1" t="s">
        <v>326</v>
      </c>
      <c r="C787" s="1" t="s">
        <v>26</v>
      </c>
      <c r="D787" s="1">
        <v>13</v>
      </c>
      <c r="E787" s="1">
        <v>19.5</v>
      </c>
      <c r="F787" s="24">
        <f t="shared" si="18"/>
        <v>5.9090909090909092</v>
      </c>
    </row>
    <row r="788" spans="2:6" x14ac:dyDescent="0.25">
      <c r="B788" s="1"/>
      <c r="C788" s="1"/>
      <c r="D788" s="1"/>
      <c r="E788" s="1"/>
      <c r="F788" s="24">
        <f t="shared" si="18"/>
        <v>0</v>
      </c>
    </row>
    <row r="789" spans="2:6" x14ac:dyDescent="0.25">
      <c r="B789" s="10" t="s">
        <v>20</v>
      </c>
      <c r="C789" s="1"/>
      <c r="D789" s="1"/>
      <c r="E789" s="4">
        <f>SUM(E776:E788)</f>
        <v>690.9</v>
      </c>
      <c r="F789" s="22">
        <f>SUM(F776:F788)</f>
        <v>209.36363636363635</v>
      </c>
    </row>
    <row r="790" spans="2:6" x14ac:dyDescent="0.25">
      <c r="B790" s="4" t="s">
        <v>22</v>
      </c>
      <c r="C790" s="6"/>
      <c r="D790" s="6"/>
      <c r="E790" s="6"/>
      <c r="F790" s="23">
        <f>F774+F789</f>
        <v>225.04363636363635</v>
      </c>
    </row>
    <row r="791" spans="2:6" x14ac:dyDescent="0.25">
      <c r="B791" s="7"/>
      <c r="C791" s="7"/>
      <c r="D791" s="7"/>
      <c r="E791" s="7"/>
      <c r="F791" s="7"/>
    </row>
    <row r="792" spans="2:6" x14ac:dyDescent="0.25">
      <c r="B792" s="13"/>
      <c r="C792" s="13"/>
      <c r="D792" s="13"/>
      <c r="E792" s="13"/>
      <c r="F792" s="13"/>
    </row>
    <row r="793" spans="2:6" x14ac:dyDescent="0.25">
      <c r="B793" s="13"/>
      <c r="C793" s="13"/>
      <c r="D793" s="13"/>
      <c r="E793" s="13"/>
      <c r="F793" s="13"/>
    </row>
    <row r="794" spans="2:6" x14ac:dyDescent="0.25">
      <c r="B794" s="39" t="s">
        <v>23</v>
      </c>
      <c r="C794" s="38"/>
      <c r="D794" s="38"/>
      <c r="E794" s="39" t="s">
        <v>24</v>
      </c>
      <c r="F794" s="38"/>
    </row>
    <row r="796" spans="2:6" ht="37.15" customHeight="1" x14ac:dyDescent="0.25">
      <c r="B796" s="37" t="s">
        <v>129</v>
      </c>
      <c r="C796" s="37"/>
      <c r="D796" s="37"/>
      <c r="E796" s="37"/>
      <c r="F796" s="37"/>
    </row>
    <row r="797" spans="2:6" ht="37.15" customHeight="1" x14ac:dyDescent="0.25">
      <c r="B797" s="37" t="s">
        <v>1</v>
      </c>
      <c r="C797" s="37"/>
      <c r="D797" s="37"/>
      <c r="E797" s="37"/>
      <c r="F797" s="37"/>
    </row>
    <row r="798" spans="2:6" x14ac:dyDescent="0.25">
      <c r="B798" s="14" t="s">
        <v>0</v>
      </c>
      <c r="C798" s="14"/>
      <c r="D798" s="14"/>
      <c r="E798" s="14"/>
      <c r="F798" s="14"/>
    </row>
    <row r="799" spans="2:6" x14ac:dyDescent="0.25">
      <c r="B799" s="12"/>
      <c r="C799" s="38" t="s">
        <v>25</v>
      </c>
      <c r="D799" s="38"/>
      <c r="E799" s="12">
        <v>278.8</v>
      </c>
      <c r="F799" s="12" t="s">
        <v>26</v>
      </c>
    </row>
    <row r="801" spans="2:6" ht="60" x14ac:dyDescent="0.25">
      <c r="B801" s="1" t="s">
        <v>2</v>
      </c>
      <c r="C801" s="1" t="s">
        <v>4</v>
      </c>
      <c r="D801" s="1" t="s">
        <v>3</v>
      </c>
      <c r="E801" s="1" t="s">
        <v>447</v>
      </c>
      <c r="F801" s="1" t="s">
        <v>5</v>
      </c>
    </row>
    <row r="802" spans="2:6" x14ac:dyDescent="0.25">
      <c r="B802" s="1"/>
      <c r="C802" s="1"/>
      <c r="D802" s="1"/>
      <c r="E802" s="1"/>
      <c r="F802" s="1"/>
    </row>
    <row r="803" spans="2:6" x14ac:dyDescent="0.25">
      <c r="B803" s="3" t="s">
        <v>6</v>
      </c>
      <c r="C803" s="1"/>
      <c r="D803" s="1"/>
      <c r="E803" s="1"/>
      <c r="F803" s="1"/>
    </row>
    <row r="804" spans="2:6" x14ac:dyDescent="0.25">
      <c r="B804" s="5" t="s">
        <v>7</v>
      </c>
      <c r="C804" s="1"/>
      <c r="D804" s="1"/>
      <c r="E804" s="1"/>
      <c r="F804" s="5">
        <v>2.0099999999999998</v>
      </c>
    </row>
    <row r="805" spans="2:6" x14ac:dyDescent="0.25">
      <c r="B805" s="5" t="s">
        <v>8</v>
      </c>
      <c r="C805" s="1"/>
      <c r="D805" s="1"/>
      <c r="E805" s="1"/>
      <c r="F805" s="5">
        <v>5.34</v>
      </c>
    </row>
    <row r="806" spans="2:6" ht="24.75" x14ac:dyDescent="0.25">
      <c r="B806" s="5" t="s">
        <v>11</v>
      </c>
      <c r="C806" s="1"/>
      <c r="D806" s="1"/>
      <c r="E806" s="1"/>
      <c r="F806" s="5">
        <v>0.55000000000000004</v>
      </c>
    </row>
    <row r="807" spans="2:6" ht="24.75" x14ac:dyDescent="0.25">
      <c r="B807" s="5" t="s">
        <v>12</v>
      </c>
      <c r="C807" s="1"/>
      <c r="D807" s="1"/>
      <c r="E807" s="1"/>
      <c r="F807" s="5">
        <v>0.53</v>
      </c>
    </row>
    <row r="808" spans="2:6" ht="24.75" x14ac:dyDescent="0.25">
      <c r="B808" s="5" t="s">
        <v>13</v>
      </c>
      <c r="C808" s="1"/>
      <c r="D808" s="1"/>
      <c r="E808" s="1"/>
      <c r="F808" s="5">
        <v>0.19</v>
      </c>
    </row>
    <row r="809" spans="2:6" ht="24.75" x14ac:dyDescent="0.25">
      <c r="B809" s="5" t="s">
        <v>9</v>
      </c>
      <c r="C809" s="1"/>
      <c r="D809" s="1"/>
      <c r="E809" s="1"/>
      <c r="F809" s="5">
        <v>0.26</v>
      </c>
    </row>
    <row r="810" spans="2:6" ht="24.75" x14ac:dyDescent="0.25">
      <c r="B810" s="5" t="s">
        <v>15</v>
      </c>
      <c r="C810" s="1"/>
      <c r="D810" s="1"/>
      <c r="E810" s="1"/>
      <c r="F810" s="5">
        <v>0.27</v>
      </c>
    </row>
    <row r="811" spans="2:6" ht="24.75" x14ac:dyDescent="0.25">
      <c r="B811" s="5" t="s">
        <v>16</v>
      </c>
      <c r="C811" s="1"/>
      <c r="D811" s="1"/>
      <c r="E811" s="1"/>
      <c r="F811" s="5">
        <v>0.28999999999999998</v>
      </c>
    </row>
    <row r="812" spans="2:6" x14ac:dyDescent="0.25">
      <c r="B812" s="5" t="s">
        <v>17</v>
      </c>
      <c r="C812" s="1"/>
      <c r="D812" s="1"/>
      <c r="E812" s="1"/>
      <c r="F812" s="5">
        <v>0.32</v>
      </c>
    </row>
    <row r="813" spans="2:6" x14ac:dyDescent="0.25">
      <c r="B813" s="5" t="s">
        <v>18</v>
      </c>
      <c r="C813" s="1"/>
      <c r="D813" s="1"/>
      <c r="E813" s="1"/>
      <c r="F813" s="5">
        <v>1.97</v>
      </c>
    </row>
    <row r="814" spans="2:6" x14ac:dyDescent="0.25">
      <c r="B814" s="5" t="s">
        <v>19</v>
      </c>
      <c r="C814" s="1"/>
      <c r="D814" s="1"/>
      <c r="E814" s="1"/>
      <c r="F814" s="5">
        <v>3.95</v>
      </c>
    </row>
    <row r="815" spans="2:6" x14ac:dyDescent="0.25">
      <c r="B815" s="10" t="s">
        <v>20</v>
      </c>
      <c r="C815" s="1"/>
      <c r="D815" s="1"/>
      <c r="E815" s="1"/>
      <c r="F815" s="4">
        <f>SUM(F804:F814)</f>
        <v>15.68</v>
      </c>
    </row>
    <row r="816" spans="2:6" x14ac:dyDescent="0.25">
      <c r="B816" s="3" t="s">
        <v>21</v>
      </c>
      <c r="C816" s="1"/>
      <c r="D816" s="1"/>
      <c r="E816" s="1"/>
      <c r="F816" s="1"/>
    </row>
    <row r="817" spans="2:6" x14ac:dyDescent="0.25">
      <c r="B817" s="1" t="s">
        <v>275</v>
      </c>
      <c r="C817" s="1" t="s">
        <v>26</v>
      </c>
      <c r="D817" s="1">
        <v>57</v>
      </c>
      <c r="E817" s="1">
        <v>85.5</v>
      </c>
      <c r="F817" s="24">
        <f>E817/278.8*1000/12</f>
        <v>25.55595408895265</v>
      </c>
    </row>
    <row r="818" spans="2:6" x14ac:dyDescent="0.25">
      <c r="B818" s="1" t="s">
        <v>326</v>
      </c>
      <c r="C818" s="1" t="s">
        <v>26</v>
      </c>
      <c r="D818" s="1">
        <v>10</v>
      </c>
      <c r="E818" s="1">
        <v>15</v>
      </c>
      <c r="F818" s="24">
        <f t="shared" ref="F818:F829" si="19">E818/278.8*1000/12</f>
        <v>4.4835007173601147</v>
      </c>
    </row>
    <row r="819" spans="2:6" x14ac:dyDescent="0.25">
      <c r="B819" s="1" t="s">
        <v>327</v>
      </c>
      <c r="C819" s="1" t="s">
        <v>261</v>
      </c>
      <c r="D819" s="1">
        <v>106</v>
      </c>
      <c r="E819" s="1">
        <v>106</v>
      </c>
      <c r="F819" s="24">
        <f t="shared" si="19"/>
        <v>31.683405069344811</v>
      </c>
    </row>
    <row r="820" spans="2:6" x14ac:dyDescent="0.25">
      <c r="B820" s="1" t="s">
        <v>390</v>
      </c>
      <c r="C820" s="1" t="s">
        <v>261</v>
      </c>
      <c r="D820" s="1">
        <v>18</v>
      </c>
      <c r="E820" s="1">
        <v>23.4</v>
      </c>
      <c r="F820" s="24">
        <f t="shared" si="19"/>
        <v>6.9942611190817781</v>
      </c>
    </row>
    <row r="821" spans="2:6" x14ac:dyDescent="0.25">
      <c r="B821" s="1" t="s">
        <v>319</v>
      </c>
      <c r="C821" s="1" t="s">
        <v>261</v>
      </c>
      <c r="D821" s="1">
        <v>10</v>
      </c>
      <c r="E821" s="1">
        <v>13</v>
      </c>
      <c r="F821" s="24">
        <f t="shared" si="19"/>
        <v>3.8857006217120991</v>
      </c>
    </row>
    <row r="822" spans="2:6" x14ac:dyDescent="0.25">
      <c r="B822" s="1" t="s">
        <v>342</v>
      </c>
      <c r="C822" s="1" t="s">
        <v>265</v>
      </c>
      <c r="D822" s="1">
        <v>1</v>
      </c>
      <c r="E822" s="1">
        <v>14</v>
      </c>
      <c r="F822" s="24">
        <f t="shared" si="19"/>
        <v>4.1846006695361071</v>
      </c>
    </row>
    <row r="823" spans="2:6" x14ac:dyDescent="0.25">
      <c r="B823" s="1" t="s">
        <v>343</v>
      </c>
      <c r="C823" s="1" t="s">
        <v>256</v>
      </c>
      <c r="D823" s="1">
        <v>1</v>
      </c>
      <c r="E823" s="1">
        <v>55</v>
      </c>
      <c r="F823" s="24">
        <f t="shared" si="19"/>
        <v>16.439502630320419</v>
      </c>
    </row>
    <row r="824" spans="2:6" x14ac:dyDescent="0.25">
      <c r="B824" s="1" t="s">
        <v>399</v>
      </c>
      <c r="C824" s="1" t="s">
        <v>265</v>
      </c>
      <c r="D824" s="1">
        <v>1</v>
      </c>
      <c r="E824" s="1">
        <v>3.5</v>
      </c>
      <c r="F824" s="24">
        <f t="shared" si="19"/>
        <v>1.0461501673840268</v>
      </c>
    </row>
    <row r="825" spans="2:6" x14ac:dyDescent="0.25">
      <c r="B825" s="1" t="s">
        <v>322</v>
      </c>
      <c r="C825" s="1" t="s">
        <v>261</v>
      </c>
      <c r="D825" s="1">
        <v>130</v>
      </c>
      <c r="E825" s="1">
        <v>156</v>
      </c>
      <c r="F825" s="24">
        <f t="shared" si="19"/>
        <v>46.628407460545198</v>
      </c>
    </row>
    <row r="826" spans="2:6" x14ac:dyDescent="0.25">
      <c r="B826" s="1" t="s">
        <v>323</v>
      </c>
      <c r="C826" s="1" t="s">
        <v>261</v>
      </c>
      <c r="D826" s="1">
        <v>140</v>
      </c>
      <c r="E826" s="1">
        <v>140</v>
      </c>
      <c r="F826" s="24">
        <f t="shared" si="19"/>
        <v>41.846006695361062</v>
      </c>
    </row>
    <row r="827" spans="2:6" x14ac:dyDescent="0.25">
      <c r="B827" s="1"/>
      <c r="C827" s="1"/>
      <c r="D827" s="1"/>
      <c r="E827" s="1"/>
      <c r="F827" s="24">
        <f t="shared" si="19"/>
        <v>0</v>
      </c>
    </row>
    <row r="828" spans="2:6" x14ac:dyDescent="0.25">
      <c r="B828" s="1"/>
      <c r="C828" s="1"/>
      <c r="D828" s="1"/>
      <c r="E828" s="1"/>
      <c r="F828" s="24">
        <f t="shared" si="19"/>
        <v>0</v>
      </c>
    </row>
    <row r="829" spans="2:6" x14ac:dyDescent="0.25">
      <c r="B829" s="1"/>
      <c r="C829" s="1"/>
      <c r="D829" s="1"/>
      <c r="E829" s="1"/>
      <c r="F829" s="24">
        <f t="shared" si="19"/>
        <v>0</v>
      </c>
    </row>
    <row r="830" spans="2:6" x14ac:dyDescent="0.25">
      <c r="B830" s="10" t="s">
        <v>20</v>
      </c>
      <c r="C830" s="1"/>
      <c r="D830" s="1"/>
      <c r="E830" s="4">
        <f>SUM(E817:E829)</f>
        <v>611.4</v>
      </c>
      <c r="F830" s="22">
        <f>SUM(F817:F829)</f>
        <v>182.74748923959828</v>
      </c>
    </row>
    <row r="831" spans="2:6" x14ac:dyDescent="0.25">
      <c r="B831" s="4" t="s">
        <v>22</v>
      </c>
      <c r="C831" s="6"/>
      <c r="D831" s="6"/>
      <c r="E831" s="6"/>
      <c r="F831" s="23">
        <f>F815+F830</f>
        <v>198.42748923959829</v>
      </c>
    </row>
    <row r="832" spans="2:6" x14ac:dyDescent="0.25">
      <c r="B832" s="7"/>
      <c r="C832" s="7"/>
      <c r="D832" s="7"/>
      <c r="E832" s="7"/>
      <c r="F832" s="7"/>
    </row>
    <row r="833" spans="2:6" x14ac:dyDescent="0.25">
      <c r="B833" s="13"/>
      <c r="C833" s="13"/>
      <c r="D833" s="13"/>
      <c r="E833" s="13"/>
      <c r="F833" s="13"/>
    </row>
    <row r="834" spans="2:6" x14ac:dyDescent="0.25">
      <c r="B834" s="13"/>
      <c r="C834" s="13"/>
      <c r="D834" s="13"/>
      <c r="E834" s="13"/>
      <c r="F834" s="13"/>
    </row>
    <row r="835" spans="2:6" x14ac:dyDescent="0.25">
      <c r="B835" s="39" t="s">
        <v>23</v>
      </c>
      <c r="C835" s="38"/>
      <c r="D835" s="38"/>
      <c r="E835" s="39" t="s">
        <v>24</v>
      </c>
      <c r="F835" s="38"/>
    </row>
    <row r="837" spans="2:6" ht="35.450000000000003" customHeight="1" x14ac:dyDescent="0.25">
      <c r="B837" s="37" t="s">
        <v>130</v>
      </c>
      <c r="C837" s="37"/>
      <c r="D837" s="37"/>
      <c r="E837" s="37"/>
      <c r="F837" s="37"/>
    </row>
    <row r="838" spans="2:6" ht="31.9" customHeight="1" x14ac:dyDescent="0.25">
      <c r="B838" s="37" t="s">
        <v>1</v>
      </c>
      <c r="C838" s="37"/>
      <c r="D838" s="37"/>
      <c r="E838" s="37"/>
      <c r="F838" s="37"/>
    </row>
    <row r="839" spans="2:6" x14ac:dyDescent="0.25">
      <c r="B839" s="14" t="s">
        <v>0</v>
      </c>
      <c r="C839" s="14"/>
      <c r="D839" s="14"/>
      <c r="E839" s="14"/>
      <c r="F839" s="14"/>
    </row>
    <row r="840" spans="2:6" x14ac:dyDescent="0.25">
      <c r="B840" s="12"/>
      <c r="C840" s="38" t="s">
        <v>25</v>
      </c>
      <c r="D840" s="38"/>
      <c r="E840" s="12">
        <v>276.89999999999998</v>
      </c>
      <c r="F840" s="12" t="s">
        <v>26</v>
      </c>
    </row>
    <row r="842" spans="2:6" ht="60" x14ac:dyDescent="0.25">
      <c r="B842" s="1" t="s">
        <v>2</v>
      </c>
      <c r="C842" s="1" t="s">
        <v>4</v>
      </c>
      <c r="D842" s="1" t="s">
        <v>3</v>
      </c>
      <c r="E842" s="1" t="s">
        <v>447</v>
      </c>
      <c r="F842" s="1" t="s">
        <v>5</v>
      </c>
    </row>
    <row r="843" spans="2:6" x14ac:dyDescent="0.25">
      <c r="B843" s="1"/>
      <c r="C843" s="1"/>
      <c r="D843" s="1"/>
      <c r="E843" s="1"/>
      <c r="F843" s="1"/>
    </row>
    <row r="844" spans="2:6" x14ac:dyDescent="0.25">
      <c r="B844" s="3" t="s">
        <v>6</v>
      </c>
      <c r="C844" s="1"/>
      <c r="D844" s="1"/>
      <c r="E844" s="1"/>
      <c r="F844" s="1"/>
    </row>
    <row r="845" spans="2:6" x14ac:dyDescent="0.25">
      <c r="B845" s="5" t="s">
        <v>7</v>
      </c>
      <c r="C845" s="1"/>
      <c r="D845" s="1"/>
      <c r="E845" s="1"/>
      <c r="F845" s="5">
        <v>2.0099999999999998</v>
      </c>
    </row>
    <row r="846" spans="2:6" x14ac:dyDescent="0.25">
      <c r="B846" s="5" t="s">
        <v>8</v>
      </c>
      <c r="C846" s="1"/>
      <c r="D846" s="1"/>
      <c r="E846" s="1"/>
      <c r="F846" s="5">
        <v>5.34</v>
      </c>
    </row>
    <row r="847" spans="2:6" ht="24.75" x14ac:dyDescent="0.25">
      <c r="B847" s="5" t="s">
        <v>11</v>
      </c>
      <c r="C847" s="1"/>
      <c r="D847" s="1"/>
      <c r="E847" s="1"/>
      <c r="F847" s="5">
        <v>0.55000000000000004</v>
      </c>
    </row>
    <row r="848" spans="2:6" ht="24.75" x14ac:dyDescent="0.25">
      <c r="B848" s="5" t="s">
        <v>12</v>
      </c>
      <c r="C848" s="1"/>
      <c r="D848" s="1"/>
      <c r="E848" s="1"/>
      <c r="F848" s="5">
        <v>0.53</v>
      </c>
    </row>
    <row r="849" spans="2:6" ht="24.75" x14ac:dyDescent="0.25">
      <c r="B849" s="5" t="s">
        <v>13</v>
      </c>
      <c r="C849" s="1"/>
      <c r="D849" s="1"/>
      <c r="E849" s="1"/>
      <c r="F849" s="5">
        <v>0.19</v>
      </c>
    </row>
    <row r="850" spans="2:6" ht="24.75" x14ac:dyDescent="0.25">
      <c r="B850" s="5" t="s">
        <v>9</v>
      </c>
      <c r="C850" s="1"/>
      <c r="D850" s="1"/>
      <c r="E850" s="1"/>
      <c r="F850" s="5">
        <v>0.26</v>
      </c>
    </row>
    <row r="851" spans="2:6" ht="24.75" x14ac:dyDescent="0.25">
      <c r="B851" s="5" t="s">
        <v>15</v>
      </c>
      <c r="C851" s="1"/>
      <c r="D851" s="1"/>
      <c r="E851" s="1"/>
      <c r="F851" s="5">
        <v>0.27</v>
      </c>
    </row>
    <row r="852" spans="2:6" ht="24.75" x14ac:dyDescent="0.25">
      <c r="B852" s="5" t="s">
        <v>16</v>
      </c>
      <c r="C852" s="1"/>
      <c r="D852" s="1"/>
      <c r="E852" s="1"/>
      <c r="F852" s="5">
        <v>0.28999999999999998</v>
      </c>
    </row>
    <row r="853" spans="2:6" x14ac:dyDescent="0.25">
      <c r="B853" s="5" t="s">
        <v>17</v>
      </c>
      <c r="C853" s="1"/>
      <c r="D853" s="1"/>
      <c r="E853" s="1"/>
      <c r="F853" s="5">
        <v>0.32</v>
      </c>
    </row>
    <row r="854" spans="2:6" x14ac:dyDescent="0.25">
      <c r="B854" s="5" t="s">
        <v>18</v>
      </c>
      <c r="C854" s="1"/>
      <c r="D854" s="1"/>
      <c r="E854" s="1"/>
      <c r="F854" s="5">
        <v>1.97</v>
      </c>
    </row>
    <row r="855" spans="2:6" x14ac:dyDescent="0.25">
      <c r="B855" s="5" t="s">
        <v>19</v>
      </c>
      <c r="C855" s="1"/>
      <c r="D855" s="1"/>
      <c r="E855" s="1"/>
      <c r="F855" s="5">
        <v>3.95</v>
      </c>
    </row>
    <row r="856" spans="2:6" x14ac:dyDescent="0.25">
      <c r="B856" s="10" t="s">
        <v>20</v>
      </c>
      <c r="C856" s="1"/>
      <c r="D856" s="1"/>
      <c r="E856" s="1"/>
      <c r="F856" s="4">
        <f>SUM(F845:F855)</f>
        <v>15.68</v>
      </c>
    </row>
    <row r="857" spans="2:6" x14ac:dyDescent="0.25">
      <c r="B857" s="3" t="s">
        <v>21</v>
      </c>
      <c r="C857" s="1"/>
      <c r="D857" s="1"/>
      <c r="E857" s="1"/>
      <c r="F857" s="1"/>
    </row>
    <row r="858" spans="2:6" x14ac:dyDescent="0.25">
      <c r="B858" s="1" t="s">
        <v>326</v>
      </c>
      <c r="C858" s="1" t="s">
        <v>26</v>
      </c>
      <c r="D858" s="1">
        <v>10</v>
      </c>
      <c r="E858" s="1">
        <v>15</v>
      </c>
      <c r="F858" s="24">
        <f>E858/276.9*1000/12</f>
        <v>4.5142650776453594</v>
      </c>
    </row>
    <row r="859" spans="2:6" x14ac:dyDescent="0.25">
      <c r="B859" s="1" t="s">
        <v>275</v>
      </c>
      <c r="C859" s="1" t="s">
        <v>26</v>
      </c>
      <c r="D859" s="1">
        <v>56</v>
      </c>
      <c r="E859" s="1">
        <v>84</v>
      </c>
      <c r="F859" s="24">
        <f t="shared" ref="F859:F870" si="20">E859/276.9*1000/12</f>
        <v>25.279884434814019</v>
      </c>
    </row>
    <row r="860" spans="2:6" x14ac:dyDescent="0.25">
      <c r="B860" s="1" t="s">
        <v>429</v>
      </c>
      <c r="C860" s="1" t="s">
        <v>261</v>
      </c>
      <c r="D860" s="1">
        <v>22</v>
      </c>
      <c r="E860" s="1">
        <v>28.6</v>
      </c>
      <c r="F860" s="24">
        <f t="shared" si="20"/>
        <v>8.6071987480438192</v>
      </c>
    </row>
    <row r="861" spans="2:6" x14ac:dyDescent="0.25">
      <c r="B861" s="1" t="s">
        <v>430</v>
      </c>
      <c r="C861" s="1" t="s">
        <v>261</v>
      </c>
      <c r="D861" s="1">
        <v>12</v>
      </c>
      <c r="E861" s="1">
        <v>15.6</v>
      </c>
      <c r="F861" s="24">
        <f t="shared" si="20"/>
        <v>4.694835680751174</v>
      </c>
    </row>
    <row r="862" spans="2:6" x14ac:dyDescent="0.25">
      <c r="B862" s="1" t="s">
        <v>320</v>
      </c>
      <c r="C862" s="1" t="s">
        <v>261</v>
      </c>
      <c r="D862" s="1">
        <v>18</v>
      </c>
      <c r="E862" s="1">
        <v>34.200000000000003</v>
      </c>
      <c r="F862" s="24">
        <f t="shared" si="20"/>
        <v>10.292524377031421</v>
      </c>
    </row>
    <row r="863" spans="2:6" x14ac:dyDescent="0.25">
      <c r="B863" s="1" t="s">
        <v>325</v>
      </c>
      <c r="C863" s="1" t="s">
        <v>261</v>
      </c>
      <c r="D863" s="1">
        <v>18</v>
      </c>
      <c r="E863" s="1">
        <v>34.200000000000003</v>
      </c>
      <c r="F863" s="24">
        <f t="shared" si="20"/>
        <v>10.292524377031421</v>
      </c>
    </row>
    <row r="864" spans="2:6" x14ac:dyDescent="0.25">
      <c r="B864" s="1" t="s">
        <v>327</v>
      </c>
      <c r="C864" s="1" t="s">
        <v>261</v>
      </c>
      <c r="D864" s="1">
        <v>101</v>
      </c>
      <c r="E864" s="1">
        <v>101</v>
      </c>
      <c r="F864" s="24">
        <f t="shared" si="20"/>
        <v>30.396051522812087</v>
      </c>
    </row>
    <row r="865" spans="2:6" x14ac:dyDescent="0.25">
      <c r="B865" s="1" t="s">
        <v>322</v>
      </c>
      <c r="C865" s="1" t="s">
        <v>261</v>
      </c>
      <c r="D865" s="1">
        <v>130</v>
      </c>
      <c r="E865" s="1">
        <v>156</v>
      </c>
      <c r="F865" s="24">
        <f t="shared" si="20"/>
        <v>46.948356807511743</v>
      </c>
    </row>
    <row r="866" spans="2:6" x14ac:dyDescent="0.25">
      <c r="B866" s="1" t="s">
        <v>323</v>
      </c>
      <c r="C866" s="1" t="s">
        <v>261</v>
      </c>
      <c r="D866" s="1">
        <v>140</v>
      </c>
      <c r="E866" s="1">
        <v>140</v>
      </c>
      <c r="F866" s="24">
        <f t="shared" si="20"/>
        <v>42.13314072469003</v>
      </c>
    </row>
    <row r="867" spans="2:6" x14ac:dyDescent="0.25">
      <c r="B867" s="1"/>
      <c r="C867" s="1"/>
      <c r="D867" s="1"/>
      <c r="E867" s="1"/>
      <c r="F867" s="24">
        <f t="shared" si="20"/>
        <v>0</v>
      </c>
    </row>
    <row r="868" spans="2:6" x14ac:dyDescent="0.25">
      <c r="B868" s="1"/>
      <c r="C868" s="1"/>
      <c r="D868" s="1"/>
      <c r="E868" s="1"/>
      <c r="F868" s="24">
        <f t="shared" si="20"/>
        <v>0</v>
      </c>
    </row>
    <row r="869" spans="2:6" x14ac:dyDescent="0.25">
      <c r="B869" s="1"/>
      <c r="C869" s="1"/>
      <c r="D869" s="1"/>
      <c r="E869" s="1"/>
      <c r="F869" s="24">
        <f t="shared" si="20"/>
        <v>0</v>
      </c>
    </row>
    <row r="870" spans="2:6" x14ac:dyDescent="0.25">
      <c r="B870" s="1"/>
      <c r="C870" s="1"/>
      <c r="D870" s="1"/>
      <c r="E870" s="1"/>
      <c r="F870" s="24">
        <f t="shared" si="20"/>
        <v>0</v>
      </c>
    </row>
    <row r="871" spans="2:6" x14ac:dyDescent="0.25">
      <c r="B871" s="10" t="s">
        <v>20</v>
      </c>
      <c r="C871" s="1"/>
      <c r="D871" s="1"/>
      <c r="E871" s="4">
        <f>SUM(E858:E870)</f>
        <v>608.59999999999991</v>
      </c>
      <c r="F871" s="22">
        <f>SUM(F858:F870)</f>
        <v>183.15878175033109</v>
      </c>
    </row>
    <row r="872" spans="2:6" x14ac:dyDescent="0.25">
      <c r="B872" s="4" t="s">
        <v>22</v>
      </c>
      <c r="C872" s="6"/>
      <c r="D872" s="6"/>
      <c r="E872" s="6"/>
      <c r="F872" s="23">
        <f>F856+F871</f>
        <v>198.83878175033109</v>
      </c>
    </row>
    <row r="873" spans="2:6" x14ac:dyDescent="0.25">
      <c r="B873" s="7"/>
      <c r="C873" s="7"/>
      <c r="D873" s="7"/>
      <c r="E873" s="7"/>
      <c r="F873" s="7"/>
    </row>
    <row r="874" spans="2:6" x14ac:dyDescent="0.25">
      <c r="B874" s="13"/>
      <c r="C874" s="13"/>
      <c r="D874" s="13"/>
      <c r="E874" s="13"/>
      <c r="F874" s="13"/>
    </row>
    <row r="875" spans="2:6" x14ac:dyDescent="0.25">
      <c r="B875" s="13"/>
      <c r="C875" s="13"/>
      <c r="D875" s="13"/>
      <c r="E875" s="13"/>
      <c r="F875" s="13"/>
    </row>
    <row r="876" spans="2:6" x14ac:dyDescent="0.25">
      <c r="B876" s="39" t="s">
        <v>23</v>
      </c>
      <c r="C876" s="38"/>
      <c r="D876" s="38"/>
      <c r="E876" s="39" t="s">
        <v>24</v>
      </c>
      <c r="F876" s="38"/>
    </row>
    <row r="878" spans="2:6" ht="31.15" customHeight="1" x14ac:dyDescent="0.25">
      <c r="B878" s="37" t="s">
        <v>131</v>
      </c>
      <c r="C878" s="37"/>
      <c r="D878" s="37"/>
      <c r="E878" s="37"/>
      <c r="F878" s="37"/>
    </row>
    <row r="879" spans="2:6" ht="30.6" customHeight="1" x14ac:dyDescent="0.25">
      <c r="B879" s="37" t="s">
        <v>1</v>
      </c>
      <c r="C879" s="37"/>
      <c r="D879" s="37"/>
      <c r="E879" s="37"/>
      <c r="F879" s="37"/>
    </row>
    <row r="880" spans="2:6" x14ac:dyDescent="0.25">
      <c r="B880" s="14" t="s">
        <v>0</v>
      </c>
      <c r="C880" s="14"/>
      <c r="D880" s="14"/>
      <c r="E880" s="14"/>
      <c r="F880" s="14"/>
    </row>
    <row r="881" spans="2:6" x14ac:dyDescent="0.25">
      <c r="B881" s="12"/>
      <c r="C881" s="38" t="s">
        <v>25</v>
      </c>
      <c r="D881" s="38"/>
      <c r="E881" s="12">
        <v>275.8</v>
      </c>
      <c r="F881" s="12" t="s">
        <v>26</v>
      </c>
    </row>
    <row r="883" spans="2:6" ht="60" x14ac:dyDescent="0.25">
      <c r="B883" s="1" t="s">
        <v>2</v>
      </c>
      <c r="C883" s="1" t="s">
        <v>4</v>
      </c>
      <c r="D883" s="1" t="s">
        <v>3</v>
      </c>
      <c r="E883" s="1" t="s">
        <v>447</v>
      </c>
      <c r="F883" s="1" t="s">
        <v>5</v>
      </c>
    </row>
    <row r="884" spans="2:6" x14ac:dyDescent="0.25">
      <c r="B884" s="1"/>
      <c r="C884" s="1"/>
      <c r="D884" s="1"/>
      <c r="E884" s="1"/>
      <c r="F884" s="1"/>
    </row>
    <row r="885" spans="2:6" x14ac:dyDescent="0.25">
      <c r="B885" s="3" t="s">
        <v>6</v>
      </c>
      <c r="C885" s="1"/>
      <c r="D885" s="1"/>
      <c r="E885" s="1"/>
      <c r="F885" s="1"/>
    </row>
    <row r="886" spans="2:6" x14ac:dyDescent="0.25">
      <c r="B886" s="5" t="s">
        <v>7</v>
      </c>
      <c r="C886" s="1"/>
      <c r="D886" s="1"/>
      <c r="E886" s="1"/>
      <c r="F886" s="5">
        <v>2.0099999999999998</v>
      </c>
    </row>
    <row r="887" spans="2:6" x14ac:dyDescent="0.25">
      <c r="B887" s="5" t="s">
        <v>8</v>
      </c>
      <c r="C887" s="1"/>
      <c r="D887" s="1"/>
      <c r="E887" s="1"/>
      <c r="F887" s="5">
        <v>5.34</v>
      </c>
    </row>
    <row r="888" spans="2:6" ht="24.75" x14ac:dyDescent="0.25">
      <c r="B888" s="5" t="s">
        <v>11</v>
      </c>
      <c r="C888" s="1"/>
      <c r="D888" s="1"/>
      <c r="E888" s="1"/>
      <c r="F888" s="5">
        <v>0.55000000000000004</v>
      </c>
    </row>
    <row r="889" spans="2:6" ht="24.75" x14ac:dyDescent="0.25">
      <c r="B889" s="5" t="s">
        <v>12</v>
      </c>
      <c r="C889" s="1"/>
      <c r="D889" s="1"/>
      <c r="E889" s="1"/>
      <c r="F889" s="5">
        <v>0.53</v>
      </c>
    </row>
    <row r="890" spans="2:6" ht="24.75" x14ac:dyDescent="0.25">
      <c r="B890" s="5" t="s">
        <v>13</v>
      </c>
      <c r="C890" s="1"/>
      <c r="D890" s="1"/>
      <c r="E890" s="1"/>
      <c r="F890" s="5">
        <v>0.19</v>
      </c>
    </row>
    <row r="891" spans="2:6" ht="24.75" x14ac:dyDescent="0.25">
      <c r="B891" s="5" t="s">
        <v>9</v>
      </c>
      <c r="C891" s="1"/>
      <c r="D891" s="1"/>
      <c r="E891" s="1"/>
      <c r="F891" s="5">
        <v>0.26</v>
      </c>
    </row>
    <row r="892" spans="2:6" ht="24.75" x14ac:dyDescent="0.25">
      <c r="B892" s="5" t="s">
        <v>15</v>
      </c>
      <c r="C892" s="1"/>
      <c r="D892" s="1"/>
      <c r="E892" s="1"/>
      <c r="F892" s="5">
        <v>0.27</v>
      </c>
    </row>
    <row r="893" spans="2:6" ht="24.75" x14ac:dyDescent="0.25">
      <c r="B893" s="5" t="s">
        <v>16</v>
      </c>
      <c r="C893" s="1"/>
      <c r="D893" s="1"/>
      <c r="E893" s="1"/>
      <c r="F893" s="5">
        <v>0.28999999999999998</v>
      </c>
    </row>
    <row r="894" spans="2:6" x14ac:dyDescent="0.25">
      <c r="B894" s="5" t="s">
        <v>17</v>
      </c>
      <c r="C894" s="1"/>
      <c r="D894" s="1"/>
      <c r="E894" s="1"/>
      <c r="F894" s="5">
        <v>0.32</v>
      </c>
    </row>
    <row r="895" spans="2:6" x14ac:dyDescent="0.25">
      <c r="B895" s="5" t="s">
        <v>18</v>
      </c>
      <c r="C895" s="1"/>
      <c r="D895" s="1"/>
      <c r="E895" s="1"/>
      <c r="F895" s="5">
        <v>1.97</v>
      </c>
    </row>
    <row r="896" spans="2:6" x14ac:dyDescent="0.25">
      <c r="B896" s="5" t="s">
        <v>19</v>
      </c>
      <c r="C896" s="1"/>
      <c r="D896" s="1"/>
      <c r="E896" s="1"/>
      <c r="F896" s="5">
        <v>3.95</v>
      </c>
    </row>
    <row r="897" spans="2:6" x14ac:dyDescent="0.25">
      <c r="B897" s="10" t="s">
        <v>20</v>
      </c>
      <c r="C897" s="1"/>
      <c r="D897" s="1"/>
      <c r="E897" s="1"/>
      <c r="F897" s="4">
        <f>SUM(F886:F896)</f>
        <v>15.68</v>
      </c>
    </row>
    <row r="898" spans="2:6" x14ac:dyDescent="0.25">
      <c r="B898" s="3" t="s">
        <v>21</v>
      </c>
      <c r="C898" s="1"/>
      <c r="D898" s="1"/>
      <c r="E898" s="1"/>
      <c r="F898" s="1"/>
    </row>
    <row r="899" spans="2:6" x14ac:dyDescent="0.25">
      <c r="B899" s="1" t="s">
        <v>327</v>
      </c>
      <c r="C899" s="1" t="s">
        <v>261</v>
      </c>
      <c r="D899" s="1">
        <v>111</v>
      </c>
      <c r="E899" s="1">
        <v>111</v>
      </c>
      <c r="F899" s="24">
        <f>E899/275.8*1000/12</f>
        <v>33.538796229151558</v>
      </c>
    </row>
    <row r="900" spans="2:6" x14ac:dyDescent="0.25">
      <c r="B900" s="1" t="s">
        <v>431</v>
      </c>
      <c r="C900" s="1" t="s">
        <v>26</v>
      </c>
      <c r="D900" s="1">
        <v>56</v>
      </c>
      <c r="E900" s="1">
        <v>84.5</v>
      </c>
      <c r="F900" s="24">
        <f t="shared" ref="F900:F911" si="21">E900/275.8*1000/12</f>
        <v>25.531786318588345</v>
      </c>
    </row>
    <row r="901" spans="2:6" x14ac:dyDescent="0.25">
      <c r="B901" s="1" t="s">
        <v>387</v>
      </c>
      <c r="C901" s="1" t="s">
        <v>26</v>
      </c>
      <c r="D901" s="1">
        <v>12</v>
      </c>
      <c r="E901" s="1">
        <v>7.2</v>
      </c>
      <c r="F901" s="24">
        <f t="shared" si="21"/>
        <v>2.1754894851341553</v>
      </c>
    </row>
    <row r="902" spans="2:6" x14ac:dyDescent="0.25">
      <c r="B902" s="1" t="s">
        <v>342</v>
      </c>
      <c r="C902" s="1" t="s">
        <v>265</v>
      </c>
      <c r="D902" s="1">
        <v>1</v>
      </c>
      <c r="E902" s="1">
        <v>14</v>
      </c>
      <c r="F902" s="24">
        <f t="shared" si="21"/>
        <v>4.230118443316413</v>
      </c>
    </row>
    <row r="903" spans="2:6" x14ac:dyDescent="0.25">
      <c r="B903" s="1" t="s">
        <v>320</v>
      </c>
      <c r="C903" s="1" t="s">
        <v>261</v>
      </c>
      <c r="D903" s="1">
        <v>18</v>
      </c>
      <c r="E903" s="1">
        <v>34.200000000000003</v>
      </c>
      <c r="F903" s="24">
        <f t="shared" si="21"/>
        <v>10.333575054387238</v>
      </c>
    </row>
    <row r="904" spans="2:6" x14ac:dyDescent="0.25">
      <c r="B904" s="1" t="s">
        <v>417</v>
      </c>
      <c r="C904" s="1" t="s">
        <v>261</v>
      </c>
      <c r="D904" s="1">
        <v>15</v>
      </c>
      <c r="E904" s="1">
        <v>28.5</v>
      </c>
      <c r="F904" s="24">
        <f t="shared" si="21"/>
        <v>8.6113125453226971</v>
      </c>
    </row>
    <row r="905" spans="2:6" x14ac:dyDescent="0.25">
      <c r="B905" s="1" t="s">
        <v>343</v>
      </c>
      <c r="C905" s="1" t="s">
        <v>256</v>
      </c>
      <c r="D905" s="1">
        <v>1</v>
      </c>
      <c r="E905" s="1">
        <v>55</v>
      </c>
      <c r="F905" s="24">
        <f t="shared" si="21"/>
        <v>16.618322455885906</v>
      </c>
    </row>
    <row r="906" spans="2:6" x14ac:dyDescent="0.25">
      <c r="B906" s="1" t="s">
        <v>322</v>
      </c>
      <c r="C906" s="1" t="s">
        <v>261</v>
      </c>
      <c r="D906" s="1">
        <v>130</v>
      </c>
      <c r="E906" s="1">
        <v>156</v>
      </c>
      <c r="F906" s="24">
        <f t="shared" si="21"/>
        <v>47.135605511240023</v>
      </c>
    </row>
    <row r="907" spans="2:6" x14ac:dyDescent="0.25">
      <c r="B907" s="1" t="s">
        <v>323</v>
      </c>
      <c r="C907" s="1" t="s">
        <v>261</v>
      </c>
      <c r="D907" s="1">
        <v>140</v>
      </c>
      <c r="E907" s="1">
        <v>140</v>
      </c>
      <c r="F907" s="24">
        <f t="shared" si="21"/>
        <v>42.301184433164124</v>
      </c>
    </row>
    <row r="908" spans="2:6" x14ac:dyDescent="0.25">
      <c r="B908" s="1" t="s">
        <v>432</v>
      </c>
      <c r="C908" s="1" t="s">
        <v>26</v>
      </c>
      <c r="D908" s="1">
        <v>20</v>
      </c>
      <c r="E908" s="1">
        <v>30</v>
      </c>
      <c r="F908" s="24">
        <f t="shared" si="21"/>
        <v>9.0645395213923123</v>
      </c>
    </row>
    <row r="909" spans="2:6" x14ac:dyDescent="0.25">
      <c r="B909" s="1"/>
      <c r="C909" s="1"/>
      <c r="D909" s="1"/>
      <c r="E909" s="1"/>
      <c r="F909" s="24">
        <f t="shared" si="21"/>
        <v>0</v>
      </c>
    </row>
    <row r="910" spans="2:6" x14ac:dyDescent="0.25">
      <c r="B910" s="1"/>
      <c r="C910" s="1"/>
      <c r="D910" s="1"/>
      <c r="E910" s="1"/>
      <c r="F910" s="24">
        <f t="shared" si="21"/>
        <v>0</v>
      </c>
    </row>
    <row r="911" spans="2:6" x14ac:dyDescent="0.25">
      <c r="B911" s="1"/>
      <c r="C911" s="1"/>
      <c r="D911" s="1"/>
      <c r="E911" s="1"/>
      <c r="F911" s="24">
        <f t="shared" si="21"/>
        <v>0</v>
      </c>
    </row>
    <row r="912" spans="2:6" x14ac:dyDescent="0.25">
      <c r="B912" s="10" t="s">
        <v>20</v>
      </c>
      <c r="C912" s="1"/>
      <c r="D912" s="1"/>
      <c r="E912" s="4">
        <f>SUM(E899:E911)</f>
        <v>660.4</v>
      </c>
      <c r="F912" s="22">
        <f>SUM(F899:F911)</f>
        <v>199.54072999758273</v>
      </c>
    </row>
    <row r="913" spans="2:6" x14ac:dyDescent="0.25">
      <c r="B913" s="4" t="s">
        <v>22</v>
      </c>
      <c r="C913" s="6"/>
      <c r="D913" s="6"/>
      <c r="E913" s="6"/>
      <c r="F913" s="23">
        <f>F897+F912</f>
        <v>215.22072999758274</v>
      </c>
    </row>
    <row r="914" spans="2:6" x14ac:dyDescent="0.25">
      <c r="B914" s="7"/>
      <c r="C914" s="7"/>
      <c r="D914" s="7"/>
      <c r="E914" s="7"/>
      <c r="F914" s="7"/>
    </row>
    <row r="915" spans="2:6" x14ac:dyDescent="0.25">
      <c r="B915" s="13"/>
      <c r="C915" s="13"/>
      <c r="D915" s="13"/>
      <c r="E915" s="13"/>
      <c r="F915" s="13"/>
    </row>
    <row r="916" spans="2:6" x14ac:dyDescent="0.25">
      <c r="B916" s="13"/>
      <c r="C916" s="13"/>
      <c r="D916" s="13"/>
      <c r="E916" s="13"/>
      <c r="F916" s="13"/>
    </row>
    <row r="917" spans="2:6" x14ac:dyDescent="0.25">
      <c r="B917" s="39" t="s">
        <v>23</v>
      </c>
      <c r="C917" s="38"/>
      <c r="D917" s="38"/>
      <c r="E917" s="39" t="s">
        <v>24</v>
      </c>
      <c r="F917" s="38"/>
    </row>
    <row r="919" spans="2:6" ht="32.450000000000003" customHeight="1" x14ac:dyDescent="0.25">
      <c r="B919" s="37" t="s">
        <v>132</v>
      </c>
      <c r="C919" s="37"/>
      <c r="D919" s="37"/>
      <c r="E919" s="37"/>
      <c r="F919" s="37"/>
    </row>
    <row r="920" spans="2:6" ht="30.6" customHeight="1" x14ac:dyDescent="0.25">
      <c r="B920" s="37" t="s">
        <v>1</v>
      </c>
      <c r="C920" s="37"/>
      <c r="D920" s="37"/>
      <c r="E920" s="37"/>
      <c r="F920" s="37"/>
    </row>
    <row r="921" spans="2:6" x14ac:dyDescent="0.25">
      <c r="B921" s="14" t="s">
        <v>0</v>
      </c>
      <c r="C921" s="14"/>
      <c r="D921" s="14"/>
      <c r="E921" s="14"/>
      <c r="F921" s="14"/>
    </row>
    <row r="922" spans="2:6" x14ac:dyDescent="0.25">
      <c r="B922" s="12"/>
      <c r="C922" s="38" t="s">
        <v>25</v>
      </c>
      <c r="D922" s="38"/>
      <c r="E922" s="12">
        <v>274.3</v>
      </c>
      <c r="F922" s="12" t="s">
        <v>26</v>
      </c>
    </row>
    <row r="924" spans="2:6" ht="60" x14ac:dyDescent="0.25">
      <c r="B924" s="1" t="s">
        <v>2</v>
      </c>
      <c r="C924" s="1" t="s">
        <v>4</v>
      </c>
      <c r="D924" s="1" t="s">
        <v>3</v>
      </c>
      <c r="E924" s="1" t="s">
        <v>447</v>
      </c>
      <c r="F924" s="1" t="s">
        <v>5</v>
      </c>
    </row>
    <row r="925" spans="2:6" x14ac:dyDescent="0.25">
      <c r="B925" s="1"/>
      <c r="C925" s="1"/>
      <c r="D925" s="1"/>
      <c r="E925" s="1"/>
      <c r="F925" s="1"/>
    </row>
    <row r="926" spans="2:6" x14ac:dyDescent="0.25">
      <c r="B926" s="3" t="s">
        <v>6</v>
      </c>
      <c r="C926" s="1"/>
      <c r="D926" s="1"/>
      <c r="E926" s="1"/>
      <c r="F926" s="1"/>
    </row>
    <row r="927" spans="2:6" x14ac:dyDescent="0.25">
      <c r="B927" s="5" t="s">
        <v>7</v>
      </c>
      <c r="C927" s="1"/>
      <c r="D927" s="1"/>
      <c r="E927" s="1"/>
      <c r="F927" s="5">
        <v>2.0099999999999998</v>
      </c>
    </row>
    <row r="928" spans="2:6" x14ac:dyDescent="0.25">
      <c r="B928" s="5" t="s">
        <v>8</v>
      </c>
      <c r="C928" s="1"/>
      <c r="D928" s="1"/>
      <c r="E928" s="1"/>
      <c r="F928" s="5">
        <v>5.34</v>
      </c>
    </row>
    <row r="929" spans="2:6" ht="24.75" x14ac:dyDescent="0.25">
      <c r="B929" s="5" t="s">
        <v>11</v>
      </c>
      <c r="C929" s="1"/>
      <c r="D929" s="1"/>
      <c r="E929" s="1"/>
      <c r="F929" s="5">
        <v>0.55000000000000004</v>
      </c>
    </row>
    <row r="930" spans="2:6" ht="24.75" x14ac:dyDescent="0.25">
      <c r="B930" s="5" t="s">
        <v>12</v>
      </c>
      <c r="C930" s="1"/>
      <c r="D930" s="1"/>
      <c r="E930" s="1"/>
      <c r="F930" s="5">
        <v>0.53</v>
      </c>
    </row>
    <row r="931" spans="2:6" ht="24.75" x14ac:dyDescent="0.25">
      <c r="B931" s="5" t="s">
        <v>13</v>
      </c>
      <c r="C931" s="1"/>
      <c r="D931" s="1"/>
      <c r="E931" s="1"/>
      <c r="F931" s="5">
        <v>0.19</v>
      </c>
    </row>
    <row r="932" spans="2:6" ht="24.75" x14ac:dyDescent="0.25">
      <c r="B932" s="5" t="s">
        <v>9</v>
      </c>
      <c r="C932" s="1"/>
      <c r="D932" s="1"/>
      <c r="E932" s="1"/>
      <c r="F932" s="5">
        <v>0.26</v>
      </c>
    </row>
    <row r="933" spans="2:6" ht="24.75" x14ac:dyDescent="0.25">
      <c r="B933" s="5" t="s">
        <v>15</v>
      </c>
      <c r="C933" s="1"/>
      <c r="D933" s="1"/>
      <c r="E933" s="1"/>
      <c r="F933" s="5">
        <v>0.27</v>
      </c>
    </row>
    <row r="934" spans="2:6" ht="24.75" x14ac:dyDescent="0.25">
      <c r="B934" s="5" t="s">
        <v>16</v>
      </c>
      <c r="C934" s="1"/>
      <c r="D934" s="1"/>
      <c r="E934" s="1"/>
      <c r="F934" s="5">
        <v>0.28999999999999998</v>
      </c>
    </row>
    <row r="935" spans="2:6" x14ac:dyDescent="0.25">
      <c r="B935" s="5" t="s">
        <v>17</v>
      </c>
      <c r="C935" s="1"/>
      <c r="D935" s="1"/>
      <c r="E935" s="1"/>
      <c r="F935" s="5">
        <v>0.32</v>
      </c>
    </row>
    <row r="936" spans="2:6" x14ac:dyDescent="0.25">
      <c r="B936" s="5" t="s">
        <v>18</v>
      </c>
      <c r="C936" s="1"/>
      <c r="D936" s="1"/>
      <c r="E936" s="1"/>
      <c r="F936" s="5">
        <v>1.97</v>
      </c>
    </row>
    <row r="937" spans="2:6" x14ac:dyDescent="0.25">
      <c r="B937" s="5" t="s">
        <v>19</v>
      </c>
      <c r="C937" s="1"/>
      <c r="D937" s="1"/>
      <c r="E937" s="1"/>
      <c r="F937" s="5">
        <v>3.95</v>
      </c>
    </row>
    <row r="938" spans="2:6" x14ac:dyDescent="0.25">
      <c r="B938" s="10" t="s">
        <v>20</v>
      </c>
      <c r="C938" s="1"/>
      <c r="D938" s="1"/>
      <c r="E938" s="1"/>
      <c r="F938" s="4">
        <f>SUM(F927:F937)</f>
        <v>15.68</v>
      </c>
    </row>
    <row r="939" spans="2:6" x14ac:dyDescent="0.25">
      <c r="B939" s="3" t="s">
        <v>21</v>
      </c>
      <c r="C939" s="1"/>
      <c r="D939" s="1"/>
      <c r="E939" s="1"/>
      <c r="F939" s="1"/>
    </row>
    <row r="940" spans="2:6" x14ac:dyDescent="0.25">
      <c r="B940" s="1" t="s">
        <v>327</v>
      </c>
      <c r="C940" s="1" t="s">
        <v>261</v>
      </c>
      <c r="D940" s="1">
        <v>100</v>
      </c>
      <c r="E940" s="1">
        <v>100</v>
      </c>
      <c r="F940" s="24">
        <f>E940/274.3*1000/12</f>
        <v>30.380362133916634</v>
      </c>
    </row>
    <row r="941" spans="2:6" x14ac:dyDescent="0.25">
      <c r="B941" s="1" t="s">
        <v>275</v>
      </c>
      <c r="C941" s="1" t="s">
        <v>26</v>
      </c>
      <c r="D941" s="1">
        <v>60</v>
      </c>
      <c r="E941" s="1">
        <v>90</v>
      </c>
      <c r="F941" s="24">
        <f t="shared" ref="F941:F951" si="22">E941/274.3*1000/12</f>
        <v>27.342325920524971</v>
      </c>
    </row>
    <row r="942" spans="2:6" x14ac:dyDescent="0.25">
      <c r="B942" s="1" t="s">
        <v>330</v>
      </c>
      <c r="C942" s="1" t="s">
        <v>261</v>
      </c>
      <c r="D942" s="1">
        <v>25</v>
      </c>
      <c r="E942" s="1">
        <v>32.5</v>
      </c>
      <c r="F942" s="24">
        <f t="shared" si="22"/>
        <v>9.8736176935229061</v>
      </c>
    </row>
    <row r="943" spans="2:6" x14ac:dyDescent="0.25">
      <c r="B943" s="1" t="s">
        <v>319</v>
      </c>
      <c r="C943" s="1" t="s">
        <v>261</v>
      </c>
      <c r="D943" s="1">
        <v>8</v>
      </c>
      <c r="E943" s="1">
        <v>10.4</v>
      </c>
      <c r="F943" s="24">
        <f t="shared" si="22"/>
        <v>3.1595576619273302</v>
      </c>
    </row>
    <row r="944" spans="2:6" x14ac:dyDescent="0.25">
      <c r="B944" s="1" t="s">
        <v>320</v>
      </c>
      <c r="C944" s="1" t="s">
        <v>261</v>
      </c>
      <c r="D944" s="1">
        <v>25</v>
      </c>
      <c r="E944" s="1">
        <v>47.5</v>
      </c>
      <c r="F944" s="24">
        <f t="shared" si="22"/>
        <v>14.430672013610399</v>
      </c>
    </row>
    <row r="945" spans="2:6" x14ac:dyDescent="0.25">
      <c r="B945" s="1" t="s">
        <v>325</v>
      </c>
      <c r="C945" s="1" t="s">
        <v>261</v>
      </c>
      <c r="D945" s="1">
        <v>12</v>
      </c>
      <c r="E945" s="1">
        <v>22.8</v>
      </c>
      <c r="F945" s="24">
        <f t="shared" si="22"/>
        <v>6.9267225665329919</v>
      </c>
    </row>
    <row r="946" spans="2:6" x14ac:dyDescent="0.25">
      <c r="B946" s="1" t="s">
        <v>343</v>
      </c>
      <c r="C946" s="1" t="s">
        <v>256</v>
      </c>
      <c r="D946" s="1">
        <v>1</v>
      </c>
      <c r="E946" s="1">
        <v>55</v>
      </c>
      <c r="F946" s="24">
        <f t="shared" si="22"/>
        <v>16.709199173654149</v>
      </c>
    </row>
    <row r="947" spans="2:6" x14ac:dyDescent="0.25">
      <c r="B947" s="1" t="s">
        <v>326</v>
      </c>
      <c r="C947" s="1" t="s">
        <v>26</v>
      </c>
      <c r="D947" s="1">
        <v>23</v>
      </c>
      <c r="E947" s="1">
        <v>34.5</v>
      </c>
      <c r="F947" s="24">
        <f t="shared" si="22"/>
        <v>10.481224936201238</v>
      </c>
    </row>
    <row r="948" spans="2:6" x14ac:dyDescent="0.25">
      <c r="B948" s="1" t="s">
        <v>372</v>
      </c>
      <c r="C948" s="1" t="s">
        <v>261</v>
      </c>
      <c r="D948" s="1">
        <v>130</v>
      </c>
      <c r="E948" s="1">
        <v>156</v>
      </c>
      <c r="F948" s="24">
        <f t="shared" si="22"/>
        <v>47.393364928909953</v>
      </c>
    </row>
    <row r="949" spans="2:6" x14ac:dyDescent="0.25">
      <c r="B949" s="1" t="s">
        <v>323</v>
      </c>
      <c r="C949" s="1" t="s">
        <v>261</v>
      </c>
      <c r="D949" s="1">
        <v>140</v>
      </c>
      <c r="E949" s="1">
        <v>140</v>
      </c>
      <c r="F949" s="24">
        <f t="shared" si="22"/>
        <v>42.532506987483288</v>
      </c>
    </row>
    <row r="950" spans="2:6" x14ac:dyDescent="0.25">
      <c r="B950" s="1"/>
      <c r="C950" s="1"/>
      <c r="D950" s="1"/>
      <c r="E950" s="1"/>
      <c r="F950" s="24">
        <f t="shared" si="22"/>
        <v>0</v>
      </c>
    </row>
    <row r="951" spans="2:6" x14ac:dyDescent="0.25">
      <c r="B951" s="1"/>
      <c r="C951" s="1"/>
      <c r="D951" s="1"/>
      <c r="E951" s="1"/>
      <c r="F951" s="24">
        <f t="shared" si="22"/>
        <v>0</v>
      </c>
    </row>
    <row r="952" spans="2:6" x14ac:dyDescent="0.25">
      <c r="B952" s="10" t="s">
        <v>20</v>
      </c>
      <c r="C952" s="1"/>
      <c r="D952" s="1"/>
      <c r="E952" s="4">
        <f>SUM(E940:E951)</f>
        <v>688.7</v>
      </c>
      <c r="F952" s="22">
        <f>SUM(F940:F951)</f>
        <v>209.22955401628388</v>
      </c>
    </row>
    <row r="953" spans="2:6" x14ac:dyDescent="0.25">
      <c r="B953" s="4" t="s">
        <v>22</v>
      </c>
      <c r="C953" s="6"/>
      <c r="D953" s="6"/>
      <c r="E953" s="6"/>
      <c r="F953" s="23">
        <f>F938+F952</f>
        <v>224.90955401628389</v>
      </c>
    </row>
    <row r="954" spans="2:6" x14ac:dyDescent="0.25">
      <c r="B954" s="7"/>
      <c r="C954" s="7"/>
      <c r="D954" s="7"/>
      <c r="E954" s="7"/>
      <c r="F954" s="7"/>
    </row>
    <row r="955" spans="2:6" x14ac:dyDescent="0.25">
      <c r="B955" s="13"/>
      <c r="C955" s="13"/>
      <c r="D955" s="13"/>
      <c r="E955" s="13"/>
      <c r="F955" s="13"/>
    </row>
    <row r="956" spans="2:6" x14ac:dyDescent="0.25">
      <c r="B956" s="13"/>
      <c r="C956" s="13"/>
      <c r="D956" s="13"/>
      <c r="E956" s="13"/>
      <c r="F956" s="13"/>
    </row>
    <row r="957" spans="2:6" x14ac:dyDescent="0.25">
      <c r="B957" s="39" t="s">
        <v>23</v>
      </c>
      <c r="C957" s="38"/>
      <c r="D957" s="38"/>
      <c r="E957" s="39" t="s">
        <v>24</v>
      </c>
      <c r="F957" s="38"/>
    </row>
    <row r="960" spans="2:6" ht="36.6" customHeight="1" x14ac:dyDescent="0.25">
      <c r="B960" s="37" t="s">
        <v>133</v>
      </c>
      <c r="C960" s="37"/>
      <c r="D960" s="37"/>
      <c r="E960" s="37"/>
      <c r="F960" s="37"/>
    </row>
    <row r="961" spans="2:6" ht="30" customHeight="1" x14ac:dyDescent="0.25">
      <c r="B961" s="37" t="s">
        <v>1</v>
      </c>
      <c r="C961" s="37"/>
      <c r="D961" s="37"/>
      <c r="E961" s="37"/>
      <c r="F961" s="37"/>
    </row>
    <row r="962" spans="2:6" x14ac:dyDescent="0.25">
      <c r="B962" s="14" t="s">
        <v>0</v>
      </c>
      <c r="C962" s="14"/>
      <c r="D962" s="14"/>
      <c r="E962" s="14"/>
      <c r="F962" s="14"/>
    </row>
    <row r="963" spans="2:6" x14ac:dyDescent="0.25">
      <c r="B963" s="12"/>
      <c r="C963" s="38" t="s">
        <v>25</v>
      </c>
      <c r="D963" s="38"/>
      <c r="E963" s="12">
        <v>278.2</v>
      </c>
      <c r="F963" s="12" t="s">
        <v>26</v>
      </c>
    </row>
    <row r="965" spans="2:6" ht="60" x14ac:dyDescent="0.25">
      <c r="B965" s="1" t="s">
        <v>2</v>
      </c>
      <c r="C965" s="1" t="s">
        <v>4</v>
      </c>
      <c r="D965" s="1" t="s">
        <v>3</v>
      </c>
      <c r="E965" s="1" t="s">
        <v>447</v>
      </c>
      <c r="F965" s="1" t="s">
        <v>5</v>
      </c>
    </row>
    <row r="966" spans="2:6" x14ac:dyDescent="0.25">
      <c r="B966" s="1"/>
      <c r="C966" s="1"/>
      <c r="D966" s="1"/>
      <c r="E966" s="1"/>
      <c r="F966" s="1"/>
    </row>
    <row r="967" spans="2:6" x14ac:dyDescent="0.25">
      <c r="B967" s="3" t="s">
        <v>6</v>
      </c>
      <c r="C967" s="1"/>
      <c r="D967" s="1"/>
      <c r="E967" s="1"/>
      <c r="F967" s="1"/>
    </row>
    <row r="968" spans="2:6" x14ac:dyDescent="0.25">
      <c r="B968" s="5" t="s">
        <v>7</v>
      </c>
      <c r="C968" s="1"/>
      <c r="D968" s="1"/>
      <c r="E968" s="1"/>
      <c r="F968" s="5">
        <v>2.0099999999999998</v>
      </c>
    </row>
    <row r="969" spans="2:6" x14ac:dyDescent="0.25">
      <c r="B969" s="5" t="s">
        <v>8</v>
      </c>
      <c r="C969" s="1"/>
      <c r="D969" s="1"/>
      <c r="E969" s="1"/>
      <c r="F969" s="5">
        <v>5.34</v>
      </c>
    </row>
    <row r="970" spans="2:6" ht="24.75" x14ac:dyDescent="0.25">
      <c r="B970" s="5" t="s">
        <v>11</v>
      </c>
      <c r="C970" s="1"/>
      <c r="D970" s="1"/>
      <c r="E970" s="1"/>
      <c r="F970" s="5">
        <v>0.55000000000000004</v>
      </c>
    </row>
    <row r="971" spans="2:6" ht="24.75" x14ac:dyDescent="0.25">
      <c r="B971" s="5" t="s">
        <v>12</v>
      </c>
      <c r="C971" s="1"/>
      <c r="D971" s="1"/>
      <c r="E971" s="1"/>
      <c r="F971" s="5">
        <v>0.53</v>
      </c>
    </row>
    <row r="972" spans="2:6" ht="24.75" x14ac:dyDescent="0.25">
      <c r="B972" s="5" t="s">
        <v>13</v>
      </c>
      <c r="C972" s="1"/>
      <c r="D972" s="1"/>
      <c r="E972" s="1"/>
      <c r="F972" s="5">
        <v>0.19</v>
      </c>
    </row>
    <row r="973" spans="2:6" ht="24.75" x14ac:dyDescent="0.25">
      <c r="B973" s="5" t="s">
        <v>9</v>
      </c>
      <c r="C973" s="1"/>
      <c r="D973" s="1"/>
      <c r="E973" s="1"/>
      <c r="F973" s="5">
        <v>0.26</v>
      </c>
    </row>
    <row r="974" spans="2:6" ht="24.75" x14ac:dyDescent="0.25">
      <c r="B974" s="5" t="s">
        <v>15</v>
      </c>
      <c r="C974" s="1"/>
      <c r="D974" s="1"/>
      <c r="E974" s="1"/>
      <c r="F974" s="5">
        <v>0.27</v>
      </c>
    </row>
    <row r="975" spans="2:6" ht="24.75" x14ac:dyDescent="0.25">
      <c r="B975" s="5" t="s">
        <v>16</v>
      </c>
      <c r="C975" s="1"/>
      <c r="D975" s="1"/>
      <c r="E975" s="1"/>
      <c r="F975" s="5">
        <v>0.28999999999999998</v>
      </c>
    </row>
    <row r="976" spans="2:6" x14ac:dyDescent="0.25">
      <c r="B976" s="5" t="s">
        <v>17</v>
      </c>
      <c r="C976" s="1"/>
      <c r="D976" s="1"/>
      <c r="E976" s="1"/>
      <c r="F976" s="5">
        <v>0.32</v>
      </c>
    </row>
    <row r="977" spans="2:6" x14ac:dyDescent="0.25">
      <c r="B977" s="5" t="s">
        <v>18</v>
      </c>
      <c r="C977" s="1"/>
      <c r="D977" s="1"/>
      <c r="E977" s="1"/>
      <c r="F977" s="5">
        <v>1.97</v>
      </c>
    </row>
    <row r="978" spans="2:6" x14ac:dyDescent="0.25">
      <c r="B978" s="5" t="s">
        <v>19</v>
      </c>
      <c r="C978" s="1"/>
      <c r="D978" s="1"/>
      <c r="E978" s="1"/>
      <c r="F978" s="5">
        <v>3.95</v>
      </c>
    </row>
    <row r="979" spans="2:6" x14ac:dyDescent="0.25">
      <c r="B979" s="10" t="s">
        <v>20</v>
      </c>
      <c r="C979" s="1"/>
      <c r="D979" s="1"/>
      <c r="E979" s="1"/>
      <c r="F979" s="4">
        <f>SUM(F968:F978)</f>
        <v>15.68</v>
      </c>
    </row>
    <row r="980" spans="2:6" x14ac:dyDescent="0.25">
      <c r="B980" s="3" t="s">
        <v>21</v>
      </c>
      <c r="C980" s="1"/>
      <c r="D980" s="1"/>
      <c r="E980" s="1"/>
      <c r="F980" s="1"/>
    </row>
    <row r="981" spans="2:6" x14ac:dyDescent="0.25">
      <c r="B981" s="1" t="s">
        <v>327</v>
      </c>
      <c r="C981" s="1" t="s">
        <v>261</v>
      </c>
      <c r="D981" s="1">
        <v>105</v>
      </c>
      <c r="E981" s="1">
        <v>105</v>
      </c>
      <c r="F981" s="24">
        <f>E981/278.2*1000/12</f>
        <v>31.45219266714594</v>
      </c>
    </row>
    <row r="982" spans="2:6" x14ac:dyDescent="0.25">
      <c r="B982" s="1" t="s">
        <v>330</v>
      </c>
      <c r="C982" s="1" t="s">
        <v>261</v>
      </c>
      <c r="D982" s="1">
        <v>25</v>
      </c>
      <c r="E982" s="1">
        <v>32.5</v>
      </c>
      <c r="F982" s="24">
        <f t="shared" ref="F982:F993" si="23">E982/278.2*1000/12</f>
        <v>9.7352024922118385</v>
      </c>
    </row>
    <row r="983" spans="2:6" x14ac:dyDescent="0.25">
      <c r="B983" s="1" t="s">
        <v>319</v>
      </c>
      <c r="C983" s="1" t="s">
        <v>261</v>
      </c>
      <c r="D983" s="1">
        <v>8</v>
      </c>
      <c r="E983" s="1">
        <v>10.4</v>
      </c>
      <c r="F983" s="24">
        <f t="shared" si="23"/>
        <v>3.115264797507789</v>
      </c>
    </row>
    <row r="984" spans="2:6" x14ac:dyDescent="0.25">
      <c r="B984" s="1" t="s">
        <v>320</v>
      </c>
      <c r="C984" s="1" t="s">
        <v>261</v>
      </c>
      <c r="D984" s="1">
        <v>25</v>
      </c>
      <c r="E984" s="1">
        <v>47.5</v>
      </c>
      <c r="F984" s="24">
        <f t="shared" si="23"/>
        <v>14.228372873232686</v>
      </c>
    </row>
    <row r="985" spans="2:6" x14ac:dyDescent="0.25">
      <c r="B985" s="1" t="s">
        <v>325</v>
      </c>
      <c r="C985" s="1" t="s">
        <v>261</v>
      </c>
      <c r="D985" s="1">
        <v>18</v>
      </c>
      <c r="E985" s="1">
        <v>34.200000000000003</v>
      </c>
      <c r="F985" s="24">
        <f t="shared" si="23"/>
        <v>10.244428468727536</v>
      </c>
    </row>
    <row r="986" spans="2:6" x14ac:dyDescent="0.25">
      <c r="B986" s="1" t="s">
        <v>343</v>
      </c>
      <c r="C986" s="1" t="s">
        <v>256</v>
      </c>
      <c r="D986" s="1">
        <v>1</v>
      </c>
      <c r="E986" s="1">
        <v>55</v>
      </c>
      <c r="F986" s="24">
        <f t="shared" si="23"/>
        <v>16.474958063743109</v>
      </c>
    </row>
    <row r="987" spans="2:6" x14ac:dyDescent="0.25">
      <c r="B987" s="1" t="s">
        <v>275</v>
      </c>
      <c r="C987" s="1" t="s">
        <v>26</v>
      </c>
      <c r="D987" s="1">
        <v>56</v>
      </c>
      <c r="E987" s="1">
        <v>84</v>
      </c>
      <c r="F987" s="24">
        <f t="shared" si="23"/>
        <v>25.161754133716752</v>
      </c>
    </row>
    <row r="988" spans="2:6" x14ac:dyDescent="0.25">
      <c r="B988" s="1" t="s">
        <v>398</v>
      </c>
      <c r="C988" s="1" t="s">
        <v>26</v>
      </c>
      <c r="D988" s="1">
        <v>20</v>
      </c>
      <c r="E988" s="1">
        <v>30</v>
      </c>
      <c r="F988" s="24">
        <f t="shared" si="23"/>
        <v>8.9863407620416975</v>
      </c>
    </row>
    <row r="989" spans="2:6" x14ac:dyDescent="0.25">
      <c r="B989" s="1" t="s">
        <v>322</v>
      </c>
      <c r="C989" s="1" t="s">
        <v>261</v>
      </c>
      <c r="D989" s="1">
        <v>130</v>
      </c>
      <c r="E989" s="1">
        <v>156</v>
      </c>
      <c r="F989" s="24">
        <f t="shared" si="23"/>
        <v>46.728971962616832</v>
      </c>
    </row>
    <row r="990" spans="2:6" x14ac:dyDescent="0.25">
      <c r="B990" s="1" t="s">
        <v>323</v>
      </c>
      <c r="C990" s="1" t="s">
        <v>261</v>
      </c>
      <c r="D990" s="1">
        <v>140</v>
      </c>
      <c r="E990" s="1">
        <v>140</v>
      </c>
      <c r="F990" s="24">
        <f t="shared" si="23"/>
        <v>41.936256889527918</v>
      </c>
    </row>
    <row r="991" spans="2:6" x14ac:dyDescent="0.25">
      <c r="B991" s="1"/>
      <c r="C991" s="1"/>
      <c r="D991" s="1"/>
      <c r="E991" s="1"/>
      <c r="F991" s="24">
        <f t="shared" si="23"/>
        <v>0</v>
      </c>
    </row>
    <row r="992" spans="2:6" x14ac:dyDescent="0.25">
      <c r="B992" s="1"/>
      <c r="C992" s="1"/>
      <c r="D992" s="1"/>
      <c r="E992" s="1"/>
      <c r="F992" s="24">
        <f t="shared" si="23"/>
        <v>0</v>
      </c>
    </row>
    <row r="993" spans="2:6" x14ac:dyDescent="0.25">
      <c r="B993" s="1"/>
      <c r="C993" s="1"/>
      <c r="D993" s="1"/>
      <c r="E993" s="1"/>
      <c r="F993" s="24">
        <f t="shared" si="23"/>
        <v>0</v>
      </c>
    </row>
    <row r="994" spans="2:6" x14ac:dyDescent="0.25">
      <c r="B994" s="10" t="s">
        <v>20</v>
      </c>
      <c r="C994" s="1"/>
      <c r="D994" s="1"/>
      <c r="E994" s="4">
        <f>SUM(E981:E993)</f>
        <v>694.6</v>
      </c>
      <c r="F994" s="22">
        <f>SUM(F981:F993)</f>
        <v>208.0637431104721</v>
      </c>
    </row>
    <row r="995" spans="2:6" x14ac:dyDescent="0.25">
      <c r="B995" s="4" t="s">
        <v>22</v>
      </c>
      <c r="C995" s="6"/>
      <c r="D995" s="6"/>
      <c r="E995" s="6"/>
      <c r="F995" s="23">
        <f>F979+F994</f>
        <v>223.74374311047211</v>
      </c>
    </row>
    <row r="996" spans="2:6" x14ac:dyDescent="0.25">
      <c r="B996" s="7"/>
      <c r="C996" s="7"/>
      <c r="D996" s="7"/>
      <c r="E996" s="7"/>
      <c r="F996" s="7"/>
    </row>
    <row r="997" spans="2:6" x14ac:dyDescent="0.25">
      <c r="B997" s="13"/>
      <c r="C997" s="13"/>
      <c r="D997" s="13"/>
      <c r="E997" s="13"/>
      <c r="F997" s="13"/>
    </row>
    <row r="998" spans="2:6" x14ac:dyDescent="0.25">
      <c r="B998" s="13"/>
      <c r="C998" s="13"/>
      <c r="D998" s="13"/>
      <c r="E998" s="13"/>
      <c r="F998" s="13"/>
    </row>
    <row r="999" spans="2:6" x14ac:dyDescent="0.25">
      <c r="B999" s="39" t="s">
        <v>23</v>
      </c>
      <c r="C999" s="38"/>
      <c r="D999" s="38"/>
      <c r="E999" s="39" t="s">
        <v>24</v>
      </c>
      <c r="F999" s="38"/>
    </row>
    <row r="1001" spans="2:6" ht="45.6" customHeight="1" x14ac:dyDescent="0.25">
      <c r="B1001" s="37" t="s">
        <v>134</v>
      </c>
      <c r="C1001" s="37"/>
      <c r="D1001" s="37"/>
      <c r="E1001" s="37"/>
      <c r="F1001" s="37"/>
    </row>
    <row r="1002" spans="2:6" ht="31.15" customHeight="1" x14ac:dyDescent="0.25">
      <c r="B1002" s="37" t="s">
        <v>1</v>
      </c>
      <c r="C1002" s="37"/>
      <c r="D1002" s="37"/>
      <c r="E1002" s="37"/>
      <c r="F1002" s="37"/>
    </row>
    <row r="1003" spans="2:6" x14ac:dyDescent="0.25">
      <c r="B1003" s="14" t="s">
        <v>0</v>
      </c>
      <c r="C1003" s="14"/>
      <c r="D1003" s="14"/>
      <c r="E1003" s="14"/>
      <c r="F1003" s="14"/>
    </row>
    <row r="1004" spans="2:6" x14ac:dyDescent="0.25">
      <c r="B1004" s="12"/>
      <c r="C1004" s="38" t="s">
        <v>25</v>
      </c>
      <c r="D1004" s="38"/>
      <c r="E1004" s="12">
        <v>285.7</v>
      </c>
      <c r="F1004" s="12" t="s">
        <v>26</v>
      </c>
    </row>
    <row r="1006" spans="2:6" ht="60" x14ac:dyDescent="0.25">
      <c r="B1006" s="1" t="s">
        <v>2</v>
      </c>
      <c r="C1006" s="1" t="s">
        <v>4</v>
      </c>
      <c r="D1006" s="1" t="s">
        <v>3</v>
      </c>
      <c r="E1006" s="1" t="s">
        <v>447</v>
      </c>
      <c r="F1006" s="1" t="s">
        <v>5</v>
      </c>
    </row>
    <row r="1007" spans="2:6" x14ac:dyDescent="0.25">
      <c r="B1007" s="1"/>
      <c r="C1007" s="1"/>
      <c r="D1007" s="1"/>
      <c r="E1007" s="1"/>
      <c r="F1007" s="1"/>
    </row>
    <row r="1008" spans="2:6" x14ac:dyDescent="0.25">
      <c r="B1008" s="3" t="s">
        <v>6</v>
      </c>
      <c r="C1008" s="1"/>
      <c r="D1008" s="1"/>
      <c r="E1008" s="1"/>
      <c r="F1008" s="1"/>
    </row>
    <row r="1009" spans="2:6" x14ac:dyDescent="0.25">
      <c r="B1009" s="5" t="s">
        <v>7</v>
      </c>
      <c r="C1009" s="1"/>
      <c r="D1009" s="1"/>
      <c r="E1009" s="1"/>
      <c r="F1009" s="5">
        <v>2.0099999999999998</v>
      </c>
    </row>
    <row r="1010" spans="2:6" x14ac:dyDescent="0.25">
      <c r="B1010" s="5" t="s">
        <v>8</v>
      </c>
      <c r="C1010" s="1"/>
      <c r="D1010" s="1"/>
      <c r="E1010" s="1"/>
      <c r="F1010" s="5">
        <v>5.34</v>
      </c>
    </row>
    <row r="1011" spans="2:6" ht="24.75" x14ac:dyDescent="0.25">
      <c r="B1011" s="5" t="s">
        <v>11</v>
      </c>
      <c r="C1011" s="1"/>
      <c r="D1011" s="1"/>
      <c r="E1011" s="1"/>
      <c r="F1011" s="5">
        <v>0.55000000000000004</v>
      </c>
    </row>
    <row r="1012" spans="2:6" ht="24.75" x14ac:dyDescent="0.25">
      <c r="B1012" s="5" t="s">
        <v>12</v>
      </c>
      <c r="C1012" s="1"/>
      <c r="D1012" s="1"/>
      <c r="E1012" s="1"/>
      <c r="F1012" s="5">
        <v>0.53</v>
      </c>
    </row>
    <row r="1013" spans="2:6" ht="24.75" x14ac:dyDescent="0.25">
      <c r="B1013" s="5" t="s">
        <v>13</v>
      </c>
      <c r="C1013" s="1"/>
      <c r="D1013" s="1"/>
      <c r="E1013" s="1"/>
      <c r="F1013" s="5">
        <v>0.19</v>
      </c>
    </row>
    <row r="1014" spans="2:6" ht="24.75" x14ac:dyDescent="0.25">
      <c r="B1014" s="5" t="s">
        <v>9</v>
      </c>
      <c r="C1014" s="1"/>
      <c r="D1014" s="1"/>
      <c r="E1014" s="1"/>
      <c r="F1014" s="5">
        <v>0.26</v>
      </c>
    </row>
    <row r="1015" spans="2:6" ht="24.75" x14ac:dyDescent="0.25">
      <c r="B1015" s="5" t="s">
        <v>15</v>
      </c>
      <c r="C1015" s="1"/>
      <c r="D1015" s="1"/>
      <c r="E1015" s="1"/>
      <c r="F1015" s="5">
        <v>0.27</v>
      </c>
    </row>
    <row r="1016" spans="2:6" ht="24.75" x14ac:dyDescent="0.25">
      <c r="B1016" s="5" t="s">
        <v>16</v>
      </c>
      <c r="C1016" s="1"/>
      <c r="D1016" s="1"/>
      <c r="E1016" s="1"/>
      <c r="F1016" s="5">
        <v>0.28999999999999998</v>
      </c>
    </row>
    <row r="1017" spans="2:6" x14ac:dyDescent="0.25">
      <c r="B1017" s="5" t="s">
        <v>17</v>
      </c>
      <c r="C1017" s="1"/>
      <c r="D1017" s="1"/>
      <c r="E1017" s="1"/>
      <c r="F1017" s="5">
        <v>0.32</v>
      </c>
    </row>
    <row r="1018" spans="2:6" x14ac:dyDescent="0.25">
      <c r="B1018" s="5" t="s">
        <v>18</v>
      </c>
      <c r="C1018" s="1"/>
      <c r="D1018" s="1"/>
      <c r="E1018" s="1"/>
      <c r="F1018" s="5">
        <v>1.97</v>
      </c>
    </row>
    <row r="1019" spans="2:6" x14ac:dyDescent="0.25">
      <c r="B1019" s="5" t="s">
        <v>19</v>
      </c>
      <c r="C1019" s="1"/>
      <c r="D1019" s="1"/>
      <c r="E1019" s="1"/>
      <c r="F1019" s="5">
        <v>3.95</v>
      </c>
    </row>
    <row r="1020" spans="2:6" x14ac:dyDescent="0.25">
      <c r="B1020" s="10" t="s">
        <v>20</v>
      </c>
      <c r="C1020" s="1"/>
      <c r="D1020" s="1"/>
      <c r="E1020" s="1"/>
      <c r="F1020" s="4">
        <f>SUM(F1009:F1019)</f>
        <v>15.68</v>
      </c>
    </row>
    <row r="1021" spans="2:6" x14ac:dyDescent="0.25">
      <c r="B1021" s="3" t="s">
        <v>21</v>
      </c>
      <c r="C1021" s="1"/>
      <c r="D1021" s="1"/>
      <c r="E1021" s="1"/>
      <c r="F1021" s="1"/>
    </row>
    <row r="1022" spans="2:6" x14ac:dyDescent="0.25">
      <c r="B1022" s="1" t="s">
        <v>327</v>
      </c>
      <c r="C1022" s="1" t="s">
        <v>261</v>
      </c>
      <c r="D1022" s="1">
        <v>96</v>
      </c>
      <c r="E1022" s="1">
        <v>96</v>
      </c>
      <c r="F1022" s="24">
        <f>E1022/285.7*1000/12</f>
        <v>28.001400070003502</v>
      </c>
    </row>
    <row r="1023" spans="2:6" x14ac:dyDescent="0.25">
      <c r="B1023" s="1" t="s">
        <v>275</v>
      </c>
      <c r="C1023" s="1" t="s">
        <v>26</v>
      </c>
      <c r="D1023" s="1">
        <v>60</v>
      </c>
      <c r="E1023" s="1">
        <v>90</v>
      </c>
      <c r="F1023" s="24">
        <f t="shared" ref="F1023:F1034" si="24">E1023/285.7*1000/12</f>
        <v>26.251312565628282</v>
      </c>
    </row>
    <row r="1024" spans="2:6" x14ac:dyDescent="0.25">
      <c r="B1024" s="1" t="s">
        <v>330</v>
      </c>
      <c r="C1024" s="1" t="s">
        <v>261</v>
      </c>
      <c r="D1024" s="1">
        <v>25</v>
      </c>
      <c r="E1024" s="1">
        <v>32.5</v>
      </c>
      <c r="F1024" s="24">
        <f t="shared" si="24"/>
        <v>9.4796406486991014</v>
      </c>
    </row>
    <row r="1025" spans="2:6" x14ac:dyDescent="0.25">
      <c r="B1025" s="1" t="s">
        <v>319</v>
      </c>
      <c r="C1025" s="1" t="s">
        <v>261</v>
      </c>
      <c r="D1025" s="1">
        <v>12</v>
      </c>
      <c r="E1025" s="1">
        <v>15.6</v>
      </c>
      <c r="F1025" s="24">
        <f t="shared" si="24"/>
        <v>4.550227511375569</v>
      </c>
    </row>
    <row r="1026" spans="2:6" x14ac:dyDescent="0.25">
      <c r="B1026" s="1" t="s">
        <v>342</v>
      </c>
      <c r="C1026" s="1" t="s">
        <v>265</v>
      </c>
      <c r="D1026" s="1">
        <v>1</v>
      </c>
      <c r="E1026" s="1">
        <v>17</v>
      </c>
      <c r="F1026" s="24">
        <f t="shared" si="24"/>
        <v>4.9585812623964536</v>
      </c>
    </row>
    <row r="1027" spans="2:6" x14ac:dyDescent="0.25">
      <c r="B1027" s="1" t="s">
        <v>320</v>
      </c>
      <c r="C1027" s="1" t="s">
        <v>261</v>
      </c>
      <c r="D1027" s="1">
        <v>25</v>
      </c>
      <c r="E1027" s="1">
        <v>47.5</v>
      </c>
      <c r="F1027" s="24">
        <f t="shared" si="24"/>
        <v>13.85485940963715</v>
      </c>
    </row>
    <row r="1028" spans="2:6" x14ac:dyDescent="0.25">
      <c r="B1028" s="1" t="s">
        <v>325</v>
      </c>
      <c r="C1028" s="1" t="s">
        <v>261</v>
      </c>
      <c r="D1028" s="1">
        <v>18</v>
      </c>
      <c r="E1028" s="1">
        <v>34.200000000000003</v>
      </c>
      <c r="F1028" s="24">
        <f t="shared" si="24"/>
        <v>9.9754987749387478</v>
      </c>
    </row>
    <row r="1029" spans="2:6" x14ac:dyDescent="0.25">
      <c r="B1029" s="1" t="s">
        <v>322</v>
      </c>
      <c r="C1029" s="1" t="s">
        <v>261</v>
      </c>
      <c r="D1029" s="1">
        <v>130</v>
      </c>
      <c r="E1029" s="1">
        <v>156</v>
      </c>
      <c r="F1029" s="24">
        <f t="shared" si="24"/>
        <v>45.502275113755694</v>
      </c>
    </row>
    <row r="1030" spans="2:6" x14ac:dyDescent="0.25">
      <c r="B1030" s="1" t="s">
        <v>323</v>
      </c>
      <c r="C1030" s="1" t="s">
        <v>261</v>
      </c>
      <c r="D1030" s="1">
        <v>140</v>
      </c>
      <c r="E1030" s="1">
        <v>140</v>
      </c>
      <c r="F1030" s="24">
        <f t="shared" si="24"/>
        <v>40.835375102088442</v>
      </c>
    </row>
    <row r="1031" spans="2:6" x14ac:dyDescent="0.25">
      <c r="B1031" s="1"/>
      <c r="C1031" s="1"/>
      <c r="D1031" s="1"/>
      <c r="E1031" s="1"/>
      <c r="F1031" s="24">
        <f t="shared" si="24"/>
        <v>0</v>
      </c>
    </row>
    <row r="1032" spans="2:6" x14ac:dyDescent="0.25">
      <c r="B1032" s="1"/>
      <c r="C1032" s="1"/>
      <c r="D1032" s="1"/>
      <c r="E1032" s="1"/>
      <c r="F1032" s="24">
        <f t="shared" si="24"/>
        <v>0</v>
      </c>
    </row>
    <row r="1033" spans="2:6" x14ac:dyDescent="0.25">
      <c r="B1033" s="1"/>
      <c r="C1033" s="1"/>
      <c r="D1033" s="1"/>
      <c r="E1033" s="1"/>
      <c r="F1033" s="24">
        <f t="shared" si="24"/>
        <v>0</v>
      </c>
    </row>
    <row r="1034" spans="2:6" x14ac:dyDescent="0.25">
      <c r="B1034" s="1"/>
      <c r="C1034" s="1"/>
      <c r="D1034" s="1"/>
      <c r="E1034" s="1"/>
      <c r="F1034" s="24">
        <f t="shared" si="24"/>
        <v>0</v>
      </c>
    </row>
    <row r="1035" spans="2:6" x14ac:dyDescent="0.25">
      <c r="B1035" s="10" t="s">
        <v>20</v>
      </c>
      <c r="C1035" s="1"/>
      <c r="D1035" s="1"/>
      <c r="E1035" s="4">
        <f>SUM(E1022:E1034)</f>
        <v>628.79999999999995</v>
      </c>
      <c r="F1035" s="22">
        <f>SUM(F1022:F1034)</f>
        <v>183.40917045852294</v>
      </c>
    </row>
    <row r="1036" spans="2:6" x14ac:dyDescent="0.25">
      <c r="B1036" s="4" t="s">
        <v>22</v>
      </c>
      <c r="C1036" s="6"/>
      <c r="D1036" s="6"/>
      <c r="E1036" s="6"/>
      <c r="F1036" s="23">
        <f>F1020+F1035</f>
        <v>199.08917045852294</v>
      </c>
    </row>
    <row r="1037" spans="2:6" x14ac:dyDescent="0.25">
      <c r="B1037" s="7"/>
      <c r="C1037" s="7"/>
      <c r="D1037" s="7"/>
      <c r="E1037" s="7"/>
      <c r="F1037" s="7"/>
    </row>
    <row r="1038" spans="2:6" x14ac:dyDescent="0.25">
      <c r="B1038" s="13"/>
      <c r="C1038" s="13"/>
      <c r="D1038" s="13"/>
      <c r="E1038" s="13"/>
      <c r="F1038" s="13"/>
    </row>
    <row r="1039" spans="2:6" x14ac:dyDescent="0.25">
      <c r="B1039" s="13"/>
      <c r="C1039" s="13"/>
      <c r="D1039" s="13"/>
      <c r="E1039" s="13"/>
      <c r="F1039" s="13"/>
    </row>
    <row r="1040" spans="2:6" x14ac:dyDescent="0.25">
      <c r="B1040" s="39" t="s">
        <v>23</v>
      </c>
      <c r="C1040" s="38"/>
      <c r="D1040" s="38"/>
      <c r="E1040" s="39" t="s">
        <v>24</v>
      </c>
      <c r="F1040" s="38"/>
    </row>
    <row r="1042" spans="2:6" ht="30" customHeight="1" x14ac:dyDescent="0.25">
      <c r="B1042" s="37" t="s">
        <v>135</v>
      </c>
      <c r="C1042" s="37"/>
      <c r="D1042" s="37"/>
      <c r="E1042" s="37"/>
      <c r="F1042" s="37"/>
    </row>
    <row r="1043" spans="2:6" ht="27.6" customHeight="1" x14ac:dyDescent="0.25">
      <c r="B1043" s="37" t="s">
        <v>1</v>
      </c>
      <c r="C1043" s="37"/>
      <c r="D1043" s="37"/>
      <c r="E1043" s="37"/>
      <c r="F1043" s="37"/>
    </row>
    <row r="1044" spans="2:6" x14ac:dyDescent="0.25">
      <c r="B1044" s="14" t="s">
        <v>0</v>
      </c>
      <c r="C1044" s="14"/>
      <c r="D1044" s="14"/>
      <c r="E1044" s="14"/>
      <c r="F1044" s="14"/>
    </row>
    <row r="1045" spans="2:6" x14ac:dyDescent="0.25">
      <c r="B1045" s="12"/>
      <c r="C1045" s="38" t="s">
        <v>25</v>
      </c>
      <c r="D1045" s="38"/>
      <c r="E1045" s="12">
        <v>271.3</v>
      </c>
      <c r="F1045" s="12" t="s">
        <v>26</v>
      </c>
    </row>
    <row r="1047" spans="2:6" ht="60" x14ac:dyDescent="0.25">
      <c r="B1047" s="1" t="s">
        <v>2</v>
      </c>
      <c r="C1047" s="1" t="s">
        <v>4</v>
      </c>
      <c r="D1047" s="1" t="s">
        <v>3</v>
      </c>
      <c r="E1047" s="1" t="s">
        <v>447</v>
      </c>
      <c r="F1047" s="1" t="s">
        <v>5</v>
      </c>
    </row>
    <row r="1048" spans="2:6" x14ac:dyDescent="0.25">
      <c r="B1048" s="1"/>
      <c r="C1048" s="1"/>
      <c r="D1048" s="1"/>
      <c r="E1048" s="1"/>
      <c r="F1048" s="1"/>
    </row>
    <row r="1049" spans="2:6" x14ac:dyDescent="0.25">
      <c r="B1049" s="3" t="s">
        <v>6</v>
      </c>
      <c r="C1049" s="1"/>
      <c r="D1049" s="1"/>
      <c r="E1049" s="1"/>
      <c r="F1049" s="1"/>
    </row>
    <row r="1050" spans="2:6" x14ac:dyDescent="0.25">
      <c r="B1050" s="5" t="s">
        <v>7</v>
      </c>
      <c r="C1050" s="1"/>
      <c r="D1050" s="1"/>
      <c r="E1050" s="1"/>
      <c r="F1050" s="5">
        <v>2.0099999999999998</v>
      </c>
    </row>
    <row r="1051" spans="2:6" x14ac:dyDescent="0.25">
      <c r="B1051" s="5" t="s">
        <v>8</v>
      </c>
      <c r="C1051" s="1"/>
      <c r="D1051" s="1"/>
      <c r="E1051" s="1"/>
      <c r="F1051" s="5">
        <v>5.34</v>
      </c>
    </row>
    <row r="1052" spans="2:6" ht="24.75" x14ac:dyDescent="0.25">
      <c r="B1052" s="5" t="s">
        <v>11</v>
      </c>
      <c r="C1052" s="1"/>
      <c r="D1052" s="1"/>
      <c r="E1052" s="1"/>
      <c r="F1052" s="5">
        <v>0.55000000000000004</v>
      </c>
    </row>
    <row r="1053" spans="2:6" ht="24.75" x14ac:dyDescent="0.25">
      <c r="B1053" s="5" t="s">
        <v>12</v>
      </c>
      <c r="C1053" s="1"/>
      <c r="D1053" s="1"/>
      <c r="E1053" s="1"/>
      <c r="F1053" s="5">
        <v>0.53</v>
      </c>
    </row>
    <row r="1054" spans="2:6" ht="24.75" x14ac:dyDescent="0.25">
      <c r="B1054" s="5" t="s">
        <v>13</v>
      </c>
      <c r="C1054" s="1"/>
      <c r="D1054" s="1"/>
      <c r="E1054" s="1"/>
      <c r="F1054" s="5">
        <v>0.19</v>
      </c>
    </row>
    <row r="1055" spans="2:6" ht="24.75" x14ac:dyDescent="0.25">
      <c r="B1055" s="5" t="s">
        <v>9</v>
      </c>
      <c r="C1055" s="1"/>
      <c r="D1055" s="1"/>
      <c r="E1055" s="1"/>
      <c r="F1055" s="5">
        <v>0.26</v>
      </c>
    </row>
    <row r="1056" spans="2:6" ht="24.75" x14ac:dyDescent="0.25">
      <c r="B1056" s="5" t="s">
        <v>15</v>
      </c>
      <c r="C1056" s="1"/>
      <c r="D1056" s="1"/>
      <c r="E1056" s="1"/>
      <c r="F1056" s="5">
        <v>0.27</v>
      </c>
    </row>
    <row r="1057" spans="2:6" ht="24.75" x14ac:dyDescent="0.25">
      <c r="B1057" s="5" t="s">
        <v>16</v>
      </c>
      <c r="C1057" s="1"/>
      <c r="D1057" s="1"/>
      <c r="E1057" s="1"/>
      <c r="F1057" s="5">
        <v>0.28999999999999998</v>
      </c>
    </row>
    <row r="1058" spans="2:6" x14ac:dyDescent="0.25">
      <c r="B1058" s="5" t="s">
        <v>17</v>
      </c>
      <c r="C1058" s="1"/>
      <c r="D1058" s="1"/>
      <c r="E1058" s="1"/>
      <c r="F1058" s="5">
        <v>0.32</v>
      </c>
    </row>
    <row r="1059" spans="2:6" x14ac:dyDescent="0.25">
      <c r="B1059" s="5" t="s">
        <v>18</v>
      </c>
      <c r="C1059" s="1"/>
      <c r="D1059" s="1"/>
      <c r="E1059" s="1"/>
      <c r="F1059" s="5">
        <v>1.97</v>
      </c>
    </row>
    <row r="1060" spans="2:6" x14ac:dyDescent="0.25">
      <c r="B1060" s="5" t="s">
        <v>19</v>
      </c>
      <c r="C1060" s="1"/>
      <c r="D1060" s="1"/>
      <c r="E1060" s="1"/>
      <c r="F1060" s="5">
        <v>3.95</v>
      </c>
    </row>
    <row r="1061" spans="2:6" x14ac:dyDescent="0.25">
      <c r="B1061" s="10" t="s">
        <v>20</v>
      </c>
      <c r="C1061" s="1"/>
      <c r="D1061" s="1"/>
      <c r="E1061" s="1"/>
      <c r="F1061" s="4">
        <f>SUM(F1050:F1060)</f>
        <v>15.68</v>
      </c>
    </row>
    <row r="1062" spans="2:6" x14ac:dyDescent="0.25">
      <c r="B1062" s="3" t="s">
        <v>21</v>
      </c>
      <c r="C1062" s="1"/>
      <c r="D1062" s="1"/>
      <c r="E1062" s="1"/>
      <c r="F1062" s="1"/>
    </row>
    <row r="1063" spans="2:6" x14ac:dyDescent="0.25">
      <c r="B1063" s="1" t="s">
        <v>326</v>
      </c>
      <c r="C1063" s="1" t="s">
        <v>26</v>
      </c>
      <c r="D1063" s="1">
        <v>15</v>
      </c>
      <c r="E1063" s="1">
        <v>22.5</v>
      </c>
      <c r="F1063" s="24">
        <f>E1063/271.3*1000/12</f>
        <v>6.9111684482123108</v>
      </c>
    </row>
    <row r="1064" spans="2:6" x14ac:dyDescent="0.25">
      <c r="B1064" s="1" t="s">
        <v>327</v>
      </c>
      <c r="C1064" s="1" t="s">
        <v>261</v>
      </c>
      <c r="D1064" s="1">
        <v>103</v>
      </c>
      <c r="E1064" s="1">
        <v>103</v>
      </c>
      <c r="F1064" s="24">
        <f t="shared" ref="F1064:F1075" si="25">E1064/271.3*1000/12</f>
        <v>31.637793340705244</v>
      </c>
    </row>
    <row r="1065" spans="2:6" x14ac:dyDescent="0.25">
      <c r="B1065" s="1" t="s">
        <v>275</v>
      </c>
      <c r="C1065" s="1" t="s">
        <v>26</v>
      </c>
      <c r="D1065" s="1">
        <v>55</v>
      </c>
      <c r="E1065" s="1">
        <v>82.5</v>
      </c>
      <c r="F1065" s="24">
        <f t="shared" si="25"/>
        <v>25.340950976778473</v>
      </c>
    </row>
    <row r="1066" spans="2:6" x14ac:dyDescent="0.25">
      <c r="B1066" s="1" t="s">
        <v>319</v>
      </c>
      <c r="C1066" s="1" t="s">
        <v>261</v>
      </c>
      <c r="D1066" s="1">
        <v>12</v>
      </c>
      <c r="E1066" s="1">
        <v>15.6</v>
      </c>
      <c r="F1066" s="24">
        <f t="shared" si="25"/>
        <v>4.7917434574272022</v>
      </c>
    </row>
    <row r="1067" spans="2:6" x14ac:dyDescent="0.25">
      <c r="B1067" s="1" t="s">
        <v>320</v>
      </c>
      <c r="C1067" s="1" t="s">
        <v>261</v>
      </c>
      <c r="D1067" s="1">
        <v>25</v>
      </c>
      <c r="E1067" s="1">
        <v>47.5</v>
      </c>
      <c r="F1067" s="24">
        <f t="shared" si="25"/>
        <v>14.590244501781543</v>
      </c>
    </row>
    <row r="1068" spans="2:6" x14ac:dyDescent="0.25">
      <c r="B1068" s="1" t="s">
        <v>325</v>
      </c>
      <c r="C1068" s="1" t="s">
        <v>261</v>
      </c>
      <c r="D1068" s="1">
        <v>18</v>
      </c>
      <c r="E1068" s="1">
        <v>34.200000000000003</v>
      </c>
      <c r="F1068" s="24">
        <f t="shared" si="25"/>
        <v>10.504976041282712</v>
      </c>
    </row>
    <row r="1069" spans="2:6" x14ac:dyDescent="0.25">
      <c r="B1069" s="1" t="s">
        <v>343</v>
      </c>
      <c r="C1069" s="1" t="s">
        <v>256</v>
      </c>
      <c r="D1069" s="1">
        <v>1</v>
      </c>
      <c r="E1069" s="1">
        <v>50</v>
      </c>
      <c r="F1069" s="24">
        <f t="shared" si="25"/>
        <v>15.358152107138471</v>
      </c>
    </row>
    <row r="1070" spans="2:6" x14ac:dyDescent="0.25">
      <c r="B1070" s="1" t="s">
        <v>322</v>
      </c>
      <c r="C1070" s="1" t="s">
        <v>261</v>
      </c>
      <c r="D1070" s="1">
        <v>130</v>
      </c>
      <c r="E1070" s="1">
        <v>156</v>
      </c>
      <c r="F1070" s="24">
        <f t="shared" si="25"/>
        <v>47.917434574272022</v>
      </c>
    </row>
    <row r="1071" spans="2:6" x14ac:dyDescent="0.25">
      <c r="B1071" s="1" t="s">
        <v>323</v>
      </c>
      <c r="C1071" s="1" t="s">
        <v>261</v>
      </c>
      <c r="D1071" s="1">
        <v>140</v>
      </c>
      <c r="E1071" s="1">
        <v>140</v>
      </c>
      <c r="F1071" s="24">
        <f t="shared" si="25"/>
        <v>43.002825899987705</v>
      </c>
    </row>
    <row r="1072" spans="2:6" x14ac:dyDescent="0.25">
      <c r="B1072" s="1"/>
      <c r="C1072" s="1"/>
      <c r="D1072" s="1"/>
      <c r="E1072" s="1"/>
      <c r="F1072" s="24">
        <f t="shared" si="25"/>
        <v>0</v>
      </c>
    </row>
    <row r="1073" spans="2:6" x14ac:dyDescent="0.25">
      <c r="B1073" s="1"/>
      <c r="C1073" s="1"/>
      <c r="D1073" s="1"/>
      <c r="E1073" s="1"/>
      <c r="F1073" s="24">
        <f t="shared" si="25"/>
        <v>0</v>
      </c>
    </row>
    <row r="1074" spans="2:6" x14ac:dyDescent="0.25">
      <c r="B1074" s="1"/>
      <c r="C1074" s="1"/>
      <c r="D1074" s="1"/>
      <c r="E1074" s="1"/>
      <c r="F1074" s="24">
        <f t="shared" si="25"/>
        <v>0</v>
      </c>
    </row>
    <row r="1075" spans="2:6" x14ac:dyDescent="0.25">
      <c r="B1075" s="1"/>
      <c r="C1075" s="1"/>
      <c r="D1075" s="1"/>
      <c r="E1075" s="1"/>
      <c r="F1075" s="24">
        <f t="shared" si="25"/>
        <v>0</v>
      </c>
    </row>
    <row r="1076" spans="2:6" x14ac:dyDescent="0.25">
      <c r="B1076" s="10" t="s">
        <v>20</v>
      </c>
      <c r="C1076" s="1"/>
      <c r="D1076" s="1"/>
      <c r="E1076" s="4">
        <f>SUM(E1063:E1075)</f>
        <v>651.29999999999995</v>
      </c>
      <c r="F1076" s="22">
        <f>SUM(F1063:F1075)</f>
        <v>200.05528934758567</v>
      </c>
    </row>
    <row r="1077" spans="2:6" x14ac:dyDescent="0.25">
      <c r="B1077" s="4" t="s">
        <v>22</v>
      </c>
      <c r="C1077" s="6"/>
      <c r="D1077" s="6"/>
      <c r="E1077" s="6"/>
      <c r="F1077" s="23">
        <f>F1061+F1076</f>
        <v>215.73528934758568</v>
      </c>
    </row>
    <row r="1078" spans="2:6" x14ac:dyDescent="0.25">
      <c r="B1078" s="7"/>
      <c r="C1078" s="7"/>
      <c r="D1078" s="7"/>
      <c r="E1078" s="7"/>
      <c r="F1078" s="7"/>
    </row>
    <row r="1079" spans="2:6" x14ac:dyDescent="0.25">
      <c r="B1079" s="13"/>
      <c r="C1079" s="13"/>
      <c r="D1079" s="13"/>
      <c r="E1079" s="13"/>
      <c r="F1079" s="13"/>
    </row>
    <row r="1080" spans="2:6" x14ac:dyDescent="0.25">
      <c r="B1080" s="13"/>
      <c r="C1080" s="13"/>
      <c r="D1080" s="13"/>
      <c r="E1080" s="13"/>
      <c r="F1080" s="13"/>
    </row>
    <row r="1081" spans="2:6" x14ac:dyDescent="0.25">
      <c r="B1081" s="39" t="s">
        <v>23</v>
      </c>
      <c r="C1081" s="38"/>
      <c r="D1081" s="38"/>
      <c r="E1081" s="39" t="s">
        <v>24</v>
      </c>
      <c r="F1081" s="38"/>
    </row>
    <row r="1083" spans="2:6" ht="37.15" customHeight="1" x14ac:dyDescent="0.25">
      <c r="B1083" s="37" t="s">
        <v>136</v>
      </c>
      <c r="C1083" s="37"/>
      <c r="D1083" s="37"/>
      <c r="E1083" s="37"/>
      <c r="F1083" s="37"/>
    </row>
    <row r="1084" spans="2:6" ht="32.450000000000003" customHeight="1" x14ac:dyDescent="0.25">
      <c r="B1084" s="37" t="s">
        <v>1</v>
      </c>
      <c r="C1084" s="37"/>
      <c r="D1084" s="37"/>
      <c r="E1084" s="37"/>
      <c r="F1084" s="37"/>
    </row>
    <row r="1085" spans="2:6" x14ac:dyDescent="0.25">
      <c r="B1085" s="14" t="s">
        <v>0</v>
      </c>
      <c r="C1085" s="14"/>
      <c r="D1085" s="14"/>
      <c r="E1085" s="14"/>
      <c r="F1085" s="14"/>
    </row>
    <row r="1086" spans="2:6" x14ac:dyDescent="0.25">
      <c r="B1086" s="12"/>
      <c r="C1086" s="38" t="s">
        <v>25</v>
      </c>
      <c r="D1086" s="38"/>
      <c r="E1086" s="12">
        <v>276.7</v>
      </c>
      <c r="F1086" s="12" t="s">
        <v>26</v>
      </c>
    </row>
    <row r="1088" spans="2:6" ht="60" x14ac:dyDescent="0.25">
      <c r="B1088" s="1" t="s">
        <v>2</v>
      </c>
      <c r="C1088" s="1" t="s">
        <v>4</v>
      </c>
      <c r="D1088" s="1" t="s">
        <v>3</v>
      </c>
      <c r="E1088" s="1" t="s">
        <v>447</v>
      </c>
      <c r="F1088" s="1" t="s">
        <v>5</v>
      </c>
    </row>
    <row r="1089" spans="2:6" x14ac:dyDescent="0.25">
      <c r="B1089" s="1"/>
      <c r="C1089" s="1"/>
      <c r="D1089" s="1"/>
      <c r="E1089" s="1"/>
      <c r="F1089" s="1"/>
    </row>
    <row r="1090" spans="2:6" x14ac:dyDescent="0.25">
      <c r="B1090" s="3" t="s">
        <v>6</v>
      </c>
      <c r="C1090" s="1"/>
      <c r="D1090" s="1"/>
      <c r="E1090" s="1"/>
      <c r="F1090" s="1"/>
    </row>
    <row r="1091" spans="2:6" x14ac:dyDescent="0.25">
      <c r="B1091" s="5" t="s">
        <v>7</v>
      </c>
      <c r="C1091" s="1"/>
      <c r="D1091" s="1"/>
      <c r="E1091" s="1"/>
      <c r="F1091" s="5">
        <v>2.0099999999999998</v>
      </c>
    </row>
    <row r="1092" spans="2:6" x14ac:dyDescent="0.25">
      <c r="B1092" s="5" t="s">
        <v>8</v>
      </c>
      <c r="C1092" s="1"/>
      <c r="D1092" s="1"/>
      <c r="E1092" s="1"/>
      <c r="F1092" s="5">
        <v>5.34</v>
      </c>
    </row>
    <row r="1093" spans="2:6" ht="24.75" x14ac:dyDescent="0.25">
      <c r="B1093" s="5" t="s">
        <v>11</v>
      </c>
      <c r="C1093" s="1"/>
      <c r="D1093" s="1"/>
      <c r="E1093" s="1"/>
      <c r="F1093" s="5">
        <v>0.55000000000000004</v>
      </c>
    </row>
    <row r="1094" spans="2:6" ht="24.75" x14ac:dyDescent="0.25">
      <c r="B1094" s="5" t="s">
        <v>12</v>
      </c>
      <c r="C1094" s="1"/>
      <c r="D1094" s="1"/>
      <c r="E1094" s="1"/>
      <c r="F1094" s="5">
        <v>0.53</v>
      </c>
    </row>
    <row r="1095" spans="2:6" ht="24.75" x14ac:dyDescent="0.25">
      <c r="B1095" s="5" t="s">
        <v>13</v>
      </c>
      <c r="C1095" s="1"/>
      <c r="D1095" s="1"/>
      <c r="E1095" s="1"/>
      <c r="F1095" s="5">
        <v>0.19</v>
      </c>
    </row>
    <row r="1096" spans="2:6" ht="24.75" x14ac:dyDescent="0.25">
      <c r="B1096" s="5" t="s">
        <v>9</v>
      </c>
      <c r="C1096" s="1"/>
      <c r="D1096" s="1"/>
      <c r="E1096" s="1"/>
      <c r="F1096" s="5">
        <v>0.26</v>
      </c>
    </row>
    <row r="1097" spans="2:6" ht="24.75" x14ac:dyDescent="0.25">
      <c r="B1097" s="5" t="s">
        <v>15</v>
      </c>
      <c r="C1097" s="1"/>
      <c r="D1097" s="1"/>
      <c r="E1097" s="1"/>
      <c r="F1097" s="5">
        <v>0.27</v>
      </c>
    </row>
    <row r="1098" spans="2:6" ht="24.75" x14ac:dyDescent="0.25">
      <c r="B1098" s="5" t="s">
        <v>16</v>
      </c>
      <c r="C1098" s="1"/>
      <c r="D1098" s="1"/>
      <c r="E1098" s="1"/>
      <c r="F1098" s="5">
        <v>0.28999999999999998</v>
      </c>
    </row>
    <row r="1099" spans="2:6" x14ac:dyDescent="0.25">
      <c r="B1099" s="5" t="s">
        <v>17</v>
      </c>
      <c r="C1099" s="1"/>
      <c r="D1099" s="1"/>
      <c r="E1099" s="1"/>
      <c r="F1099" s="5">
        <v>0.32</v>
      </c>
    </row>
    <row r="1100" spans="2:6" x14ac:dyDescent="0.25">
      <c r="B1100" s="5" t="s">
        <v>18</v>
      </c>
      <c r="C1100" s="1"/>
      <c r="D1100" s="1"/>
      <c r="E1100" s="1"/>
      <c r="F1100" s="5">
        <v>1.97</v>
      </c>
    </row>
    <row r="1101" spans="2:6" x14ac:dyDescent="0.25">
      <c r="B1101" s="5" t="s">
        <v>19</v>
      </c>
      <c r="C1101" s="1"/>
      <c r="D1101" s="1"/>
      <c r="E1101" s="1"/>
      <c r="F1101" s="5">
        <v>3.95</v>
      </c>
    </row>
    <row r="1102" spans="2:6" x14ac:dyDescent="0.25">
      <c r="B1102" s="10" t="s">
        <v>20</v>
      </c>
      <c r="C1102" s="1"/>
      <c r="D1102" s="1"/>
      <c r="E1102" s="1"/>
      <c r="F1102" s="4">
        <f>SUM(F1091:F1101)</f>
        <v>15.68</v>
      </c>
    </row>
    <row r="1103" spans="2:6" x14ac:dyDescent="0.25">
      <c r="B1103" s="3" t="s">
        <v>21</v>
      </c>
      <c r="C1103" s="1"/>
      <c r="D1103" s="1"/>
      <c r="E1103" s="1"/>
      <c r="F1103" s="1"/>
    </row>
    <row r="1104" spans="2:6" x14ac:dyDescent="0.25">
      <c r="B1104" s="1" t="s">
        <v>317</v>
      </c>
      <c r="C1104" s="1" t="s">
        <v>256</v>
      </c>
      <c r="D1104" s="1">
        <v>1</v>
      </c>
      <c r="E1104" s="1">
        <v>45</v>
      </c>
      <c r="F1104" s="24">
        <f>E1104/276.7*1000/12</f>
        <v>13.552584026020961</v>
      </c>
    </row>
    <row r="1105" spans="2:6" x14ac:dyDescent="0.25">
      <c r="B1105" s="1" t="s">
        <v>327</v>
      </c>
      <c r="C1105" s="1" t="s">
        <v>261</v>
      </c>
      <c r="D1105" s="1">
        <v>120</v>
      </c>
      <c r="E1105" s="1">
        <v>120</v>
      </c>
      <c r="F1105" s="24">
        <f t="shared" ref="F1105:F1115" si="26">E1105/276.7*1000/12</f>
        <v>36.140224069389234</v>
      </c>
    </row>
    <row r="1106" spans="2:6" ht="30" x14ac:dyDescent="0.25">
      <c r="B1106" s="1" t="s">
        <v>433</v>
      </c>
      <c r="C1106" s="1" t="s">
        <v>265</v>
      </c>
      <c r="D1106" s="1">
        <v>1</v>
      </c>
      <c r="E1106" s="1">
        <v>10</v>
      </c>
      <c r="F1106" s="24">
        <f t="shared" si="26"/>
        <v>3.0116853391157687</v>
      </c>
    </row>
    <row r="1107" spans="2:6" x14ac:dyDescent="0.25">
      <c r="B1107" s="1" t="s">
        <v>387</v>
      </c>
      <c r="C1107" s="1" t="s">
        <v>26</v>
      </c>
      <c r="D1107" s="1">
        <v>60</v>
      </c>
      <c r="E1107" s="1">
        <v>42</v>
      </c>
      <c r="F1107" s="24">
        <f t="shared" si="26"/>
        <v>12.649078424286232</v>
      </c>
    </row>
    <row r="1108" spans="2:6" x14ac:dyDescent="0.25">
      <c r="B1108" s="1" t="s">
        <v>330</v>
      </c>
      <c r="C1108" s="1" t="s">
        <v>261</v>
      </c>
      <c r="D1108" s="1">
        <v>25</v>
      </c>
      <c r="E1108" s="1">
        <v>32.5</v>
      </c>
      <c r="F1108" s="24">
        <f t="shared" si="26"/>
        <v>9.7879773521262496</v>
      </c>
    </row>
    <row r="1109" spans="2:6" x14ac:dyDescent="0.25">
      <c r="B1109" s="1" t="s">
        <v>319</v>
      </c>
      <c r="C1109" s="1" t="s">
        <v>261</v>
      </c>
      <c r="D1109" s="1">
        <v>12</v>
      </c>
      <c r="E1109" s="1">
        <v>15.6</v>
      </c>
      <c r="F1109" s="24">
        <f t="shared" si="26"/>
        <v>4.6982291290206009</v>
      </c>
    </row>
    <row r="1110" spans="2:6" x14ac:dyDescent="0.25">
      <c r="B1110" s="1" t="s">
        <v>320</v>
      </c>
      <c r="C1110" s="1" t="s">
        <v>261</v>
      </c>
      <c r="D1110" s="1">
        <v>25</v>
      </c>
      <c r="E1110" s="1">
        <v>47.5</v>
      </c>
      <c r="F1110" s="24">
        <f t="shared" si="26"/>
        <v>14.305505360799906</v>
      </c>
    </row>
    <row r="1111" spans="2:6" x14ac:dyDescent="0.25">
      <c r="B1111" s="1" t="s">
        <v>325</v>
      </c>
      <c r="C1111" s="1" t="s">
        <v>261</v>
      </c>
      <c r="D1111" s="1">
        <v>12</v>
      </c>
      <c r="E1111" s="1">
        <v>22.8</v>
      </c>
      <c r="F1111" s="24">
        <f t="shared" si="26"/>
        <v>6.8666425731839551</v>
      </c>
    </row>
    <row r="1112" spans="2:6" x14ac:dyDescent="0.25">
      <c r="B1112" s="1" t="s">
        <v>343</v>
      </c>
      <c r="C1112" s="1" t="s">
        <v>256</v>
      </c>
      <c r="D1112" s="1">
        <v>1</v>
      </c>
      <c r="E1112" s="1">
        <v>50</v>
      </c>
      <c r="F1112" s="24">
        <f t="shared" si="26"/>
        <v>15.058426695578847</v>
      </c>
    </row>
    <row r="1113" spans="2:6" x14ac:dyDescent="0.25">
      <c r="B1113" s="1" t="s">
        <v>322</v>
      </c>
      <c r="C1113" s="1" t="s">
        <v>26</v>
      </c>
      <c r="D1113" s="1">
        <v>130</v>
      </c>
      <c r="E1113" s="1">
        <v>156</v>
      </c>
      <c r="F1113" s="24">
        <f t="shared" si="26"/>
        <v>46.982291290206</v>
      </c>
    </row>
    <row r="1114" spans="2:6" x14ac:dyDescent="0.25">
      <c r="B1114" s="1" t="s">
        <v>275</v>
      </c>
      <c r="C1114" s="1" t="s">
        <v>26</v>
      </c>
      <c r="D1114" s="1">
        <v>45</v>
      </c>
      <c r="E1114" s="1">
        <v>67.5</v>
      </c>
      <c r="F1114" s="24">
        <f t="shared" si="26"/>
        <v>20.328876039031442</v>
      </c>
    </row>
    <row r="1115" spans="2:6" x14ac:dyDescent="0.25">
      <c r="B1115" s="1" t="s">
        <v>323</v>
      </c>
      <c r="C1115" s="1" t="s">
        <v>26</v>
      </c>
      <c r="D1115" s="1">
        <v>140</v>
      </c>
      <c r="E1115" s="1">
        <v>140</v>
      </c>
      <c r="F1115" s="24">
        <f t="shared" si="26"/>
        <v>42.16359474762077</v>
      </c>
    </row>
    <row r="1116" spans="2:6" x14ac:dyDescent="0.25">
      <c r="B1116" s="10" t="s">
        <v>20</v>
      </c>
      <c r="C1116" s="1"/>
      <c r="D1116" s="1"/>
      <c r="E1116" s="4">
        <f>SUM(E1104:E1115)</f>
        <v>748.90000000000009</v>
      </c>
      <c r="F1116" s="22">
        <f>SUM(F1104:F1115)</f>
        <v>225.54511504637998</v>
      </c>
    </row>
    <row r="1117" spans="2:6" x14ac:dyDescent="0.25">
      <c r="B1117" s="4" t="s">
        <v>22</v>
      </c>
      <c r="C1117" s="6"/>
      <c r="D1117" s="6"/>
      <c r="E1117" s="6"/>
      <c r="F1117" s="23">
        <f>F1102+F1116</f>
        <v>241.22511504637998</v>
      </c>
    </row>
    <row r="1118" spans="2:6" x14ac:dyDescent="0.25">
      <c r="B1118" s="7"/>
      <c r="C1118" s="7"/>
      <c r="D1118" s="7"/>
      <c r="E1118" s="7"/>
      <c r="F1118" s="7"/>
    </row>
    <row r="1119" spans="2:6" x14ac:dyDescent="0.25">
      <c r="B1119" s="13"/>
      <c r="C1119" s="13"/>
      <c r="D1119" s="13"/>
      <c r="E1119" s="13"/>
      <c r="F1119" s="13"/>
    </row>
    <row r="1120" spans="2:6" x14ac:dyDescent="0.25">
      <c r="B1120" s="13"/>
      <c r="C1120" s="13"/>
      <c r="D1120" s="13"/>
      <c r="E1120" s="13"/>
      <c r="F1120" s="13"/>
    </row>
    <row r="1121" spans="2:6" x14ac:dyDescent="0.25">
      <c r="B1121" s="39" t="s">
        <v>23</v>
      </c>
      <c r="C1121" s="38"/>
      <c r="D1121" s="38"/>
      <c r="E1121" s="39" t="s">
        <v>24</v>
      </c>
      <c r="F1121" s="38"/>
    </row>
    <row r="1123" spans="2:6" ht="35.450000000000003" customHeight="1" x14ac:dyDescent="0.25">
      <c r="B1123" s="37" t="s">
        <v>137</v>
      </c>
      <c r="C1123" s="37"/>
      <c r="D1123" s="37"/>
      <c r="E1123" s="37"/>
      <c r="F1123" s="37"/>
    </row>
    <row r="1124" spans="2:6" ht="27.6" customHeight="1" x14ac:dyDescent="0.25">
      <c r="B1124" s="37" t="s">
        <v>1</v>
      </c>
      <c r="C1124" s="37"/>
      <c r="D1124" s="37"/>
      <c r="E1124" s="37"/>
      <c r="F1124" s="37"/>
    </row>
    <row r="1125" spans="2:6" x14ac:dyDescent="0.25">
      <c r="B1125" s="14" t="s">
        <v>0</v>
      </c>
      <c r="C1125" s="14"/>
      <c r="D1125" s="14"/>
      <c r="E1125" s="14"/>
      <c r="F1125" s="14"/>
    </row>
    <row r="1126" spans="2:6" x14ac:dyDescent="0.25">
      <c r="B1126" s="12"/>
      <c r="C1126" s="38" t="s">
        <v>25</v>
      </c>
      <c r="D1126" s="38"/>
      <c r="E1126" s="12">
        <v>3529</v>
      </c>
      <c r="F1126" s="12" t="s">
        <v>26</v>
      </c>
    </row>
    <row r="1128" spans="2:6" ht="60" x14ac:dyDescent="0.25">
      <c r="B1128" s="1" t="s">
        <v>2</v>
      </c>
      <c r="C1128" s="1" t="s">
        <v>4</v>
      </c>
      <c r="D1128" s="1" t="s">
        <v>3</v>
      </c>
      <c r="E1128" s="1" t="s">
        <v>447</v>
      </c>
      <c r="F1128" s="1" t="s">
        <v>5</v>
      </c>
    </row>
    <row r="1129" spans="2:6" x14ac:dyDescent="0.25">
      <c r="B1129" s="1"/>
      <c r="C1129" s="1"/>
      <c r="D1129" s="1"/>
      <c r="E1129" s="1"/>
      <c r="F1129" s="1"/>
    </row>
    <row r="1130" spans="2:6" x14ac:dyDescent="0.25">
      <c r="B1130" s="3" t="s">
        <v>6</v>
      </c>
      <c r="C1130" s="1"/>
      <c r="D1130" s="1"/>
      <c r="E1130" s="1"/>
      <c r="F1130" s="1"/>
    </row>
    <row r="1131" spans="2:6" x14ac:dyDescent="0.25">
      <c r="B1131" s="5" t="s">
        <v>7</v>
      </c>
      <c r="C1131" s="1"/>
      <c r="D1131" s="1"/>
      <c r="E1131" s="1"/>
      <c r="F1131" s="5">
        <v>2.0099999999999998</v>
      </c>
    </row>
    <row r="1132" spans="2:6" x14ac:dyDescent="0.25">
      <c r="B1132" s="5" t="s">
        <v>8</v>
      </c>
      <c r="C1132" s="1"/>
      <c r="D1132" s="1"/>
      <c r="E1132" s="1"/>
      <c r="F1132" s="5">
        <v>5.34</v>
      </c>
    </row>
    <row r="1133" spans="2:6" x14ac:dyDescent="0.25">
      <c r="B1133" s="15" t="s">
        <v>30</v>
      </c>
      <c r="C1133" s="1"/>
      <c r="D1133" s="1"/>
      <c r="E1133" s="1"/>
      <c r="F1133" s="5">
        <v>0.06</v>
      </c>
    </row>
    <row r="1134" spans="2:6" ht="24.75" x14ac:dyDescent="0.25">
      <c r="B1134" s="5" t="s">
        <v>11</v>
      </c>
      <c r="C1134" s="1"/>
      <c r="D1134" s="1"/>
      <c r="E1134" s="1"/>
      <c r="F1134" s="5">
        <v>0.55000000000000004</v>
      </c>
    </row>
    <row r="1135" spans="2:6" ht="24.75" x14ac:dyDescent="0.25">
      <c r="B1135" s="5" t="s">
        <v>12</v>
      </c>
      <c r="C1135" s="1"/>
      <c r="D1135" s="1"/>
      <c r="E1135" s="1"/>
      <c r="F1135" s="5">
        <v>0.53</v>
      </c>
    </row>
    <row r="1136" spans="2:6" ht="24.75" x14ac:dyDescent="0.25">
      <c r="B1136" s="5" t="s">
        <v>13</v>
      </c>
      <c r="C1136" s="1"/>
      <c r="D1136" s="1"/>
      <c r="E1136" s="1"/>
      <c r="F1136" s="5">
        <v>0.19</v>
      </c>
    </row>
    <row r="1137" spans="2:6" ht="24.75" x14ac:dyDescent="0.25">
      <c r="B1137" s="5" t="s">
        <v>14</v>
      </c>
      <c r="C1137" s="1"/>
      <c r="D1137" s="1"/>
      <c r="E1137" s="1"/>
      <c r="F1137" s="5">
        <v>1.25</v>
      </c>
    </row>
    <row r="1138" spans="2:6" ht="24.75" x14ac:dyDescent="0.25">
      <c r="B1138" s="5" t="s">
        <v>9</v>
      </c>
      <c r="C1138" s="1"/>
      <c r="D1138" s="1"/>
      <c r="E1138" s="1"/>
      <c r="F1138" s="5">
        <v>0.26</v>
      </c>
    </row>
    <row r="1139" spans="2:6" ht="24.75" x14ac:dyDescent="0.25">
      <c r="B1139" s="5" t="s">
        <v>15</v>
      </c>
      <c r="C1139" s="1"/>
      <c r="D1139" s="1"/>
      <c r="E1139" s="1"/>
      <c r="F1139" s="5">
        <v>0.27</v>
      </c>
    </row>
    <row r="1140" spans="2:6" ht="24.75" x14ac:dyDescent="0.25">
      <c r="B1140" s="5" t="s">
        <v>16</v>
      </c>
      <c r="C1140" s="1"/>
      <c r="D1140" s="1"/>
      <c r="E1140" s="1"/>
      <c r="F1140" s="5">
        <v>0.28999999999999998</v>
      </c>
    </row>
    <row r="1141" spans="2:6" x14ac:dyDescent="0.25">
      <c r="B1141" s="5" t="s">
        <v>17</v>
      </c>
      <c r="C1141" s="1"/>
      <c r="D1141" s="1"/>
      <c r="E1141" s="1"/>
      <c r="F1141" s="5">
        <v>0.32</v>
      </c>
    </row>
    <row r="1142" spans="2:6" x14ac:dyDescent="0.25">
      <c r="B1142" s="5" t="s">
        <v>18</v>
      </c>
      <c r="C1142" s="1"/>
      <c r="D1142" s="1"/>
      <c r="E1142" s="1"/>
      <c r="F1142" s="5">
        <v>1.97</v>
      </c>
    </row>
    <row r="1143" spans="2:6" x14ac:dyDescent="0.25">
      <c r="B1143" s="5" t="s">
        <v>19</v>
      </c>
      <c r="C1143" s="1"/>
      <c r="D1143" s="1"/>
      <c r="E1143" s="1"/>
      <c r="F1143" s="5">
        <v>3.95</v>
      </c>
    </row>
    <row r="1144" spans="2:6" x14ac:dyDescent="0.25">
      <c r="B1144" s="10" t="s">
        <v>20</v>
      </c>
      <c r="C1144" s="1"/>
      <c r="D1144" s="1"/>
      <c r="E1144" s="1"/>
      <c r="F1144" s="4">
        <f>SUM(F1131:F1143)</f>
        <v>16.989999999999998</v>
      </c>
    </row>
    <row r="1145" spans="2:6" x14ac:dyDescent="0.25">
      <c r="B1145" s="3" t="s">
        <v>21</v>
      </c>
      <c r="C1145" s="1"/>
      <c r="D1145" s="1"/>
      <c r="E1145" s="1"/>
      <c r="F1145" s="1"/>
    </row>
    <row r="1146" spans="2:6" x14ac:dyDescent="0.25">
      <c r="B1146" s="1" t="s">
        <v>319</v>
      </c>
      <c r="C1146" s="1" t="s">
        <v>261</v>
      </c>
      <c r="D1146" s="1">
        <v>80</v>
      </c>
      <c r="E1146" s="1">
        <v>104</v>
      </c>
      <c r="F1146" s="24">
        <f>E1146/3529*1000/12</f>
        <v>2.4558420704637762</v>
      </c>
    </row>
    <row r="1147" spans="2:6" x14ac:dyDescent="0.25">
      <c r="B1147" s="1" t="s">
        <v>325</v>
      </c>
      <c r="C1147" s="1" t="s">
        <v>261</v>
      </c>
      <c r="D1147" s="1">
        <v>140</v>
      </c>
      <c r="E1147" s="1">
        <v>266</v>
      </c>
      <c r="F1147" s="24">
        <f t="shared" ref="F1147:F1158" si="27">E1147/3529*1000/12</f>
        <v>6.2812883725323507</v>
      </c>
    </row>
    <row r="1148" spans="2:6" x14ac:dyDescent="0.25">
      <c r="B1148" s="1" t="s">
        <v>343</v>
      </c>
      <c r="C1148" s="1" t="s">
        <v>256</v>
      </c>
      <c r="D1148" s="1">
        <v>4</v>
      </c>
      <c r="E1148" s="1">
        <v>600</v>
      </c>
      <c r="F1148" s="24">
        <f t="shared" si="27"/>
        <v>14.168319637291019</v>
      </c>
    </row>
    <row r="1149" spans="2:6" x14ac:dyDescent="0.25">
      <c r="B1149" s="1" t="s">
        <v>352</v>
      </c>
      <c r="C1149" s="1" t="s">
        <v>261</v>
      </c>
      <c r="D1149" s="1">
        <v>279</v>
      </c>
      <c r="E1149" s="1">
        <v>237</v>
      </c>
      <c r="F1149" s="24">
        <f t="shared" si="27"/>
        <v>5.5964862567299525</v>
      </c>
    </row>
    <row r="1150" spans="2:6" x14ac:dyDescent="0.25">
      <c r="B1150" s="1" t="s">
        <v>322</v>
      </c>
      <c r="C1150" s="1" t="s">
        <v>261</v>
      </c>
      <c r="D1150" s="1">
        <v>300</v>
      </c>
      <c r="E1150" s="1">
        <v>360</v>
      </c>
      <c r="F1150" s="24">
        <f t="shared" si="27"/>
        <v>8.5009917823746104</v>
      </c>
    </row>
    <row r="1151" spans="2:6" x14ac:dyDescent="0.25">
      <c r="B1151" s="1" t="s">
        <v>323</v>
      </c>
      <c r="C1151" s="1" t="s">
        <v>261</v>
      </c>
      <c r="D1151" s="1">
        <v>1100</v>
      </c>
      <c r="E1151" s="1">
        <v>1100</v>
      </c>
      <c r="F1151" s="24">
        <f t="shared" si="27"/>
        <v>25.975252668366867</v>
      </c>
    </row>
    <row r="1152" spans="2:6" x14ac:dyDescent="0.25">
      <c r="B1152" s="1"/>
      <c r="C1152" s="1"/>
      <c r="D1152" s="1"/>
      <c r="E1152" s="1"/>
      <c r="F1152" s="24">
        <f t="shared" si="27"/>
        <v>0</v>
      </c>
    </row>
    <row r="1153" spans="2:6" x14ac:dyDescent="0.25">
      <c r="B1153" s="1"/>
      <c r="C1153" s="1"/>
      <c r="D1153" s="1"/>
      <c r="E1153" s="1"/>
      <c r="F1153" s="24">
        <f t="shared" si="27"/>
        <v>0</v>
      </c>
    </row>
    <row r="1154" spans="2:6" x14ac:dyDescent="0.25">
      <c r="B1154" s="1"/>
      <c r="C1154" s="1"/>
      <c r="D1154" s="1"/>
      <c r="E1154" s="1"/>
      <c r="F1154" s="24">
        <f t="shared" si="27"/>
        <v>0</v>
      </c>
    </row>
    <row r="1155" spans="2:6" x14ac:dyDescent="0.25">
      <c r="B1155" s="1"/>
      <c r="C1155" s="1"/>
      <c r="D1155" s="1"/>
      <c r="E1155" s="1"/>
      <c r="F1155" s="24">
        <f t="shared" si="27"/>
        <v>0</v>
      </c>
    </row>
    <row r="1156" spans="2:6" x14ac:dyDescent="0.25">
      <c r="B1156" s="1"/>
      <c r="C1156" s="1"/>
      <c r="D1156" s="1"/>
      <c r="E1156" s="1"/>
      <c r="F1156" s="24">
        <f t="shared" si="27"/>
        <v>0</v>
      </c>
    </row>
    <row r="1157" spans="2:6" x14ac:dyDescent="0.25">
      <c r="B1157" s="1"/>
      <c r="C1157" s="1"/>
      <c r="D1157" s="1"/>
      <c r="E1157" s="1"/>
      <c r="F1157" s="24">
        <f t="shared" si="27"/>
        <v>0</v>
      </c>
    </row>
    <row r="1158" spans="2:6" x14ac:dyDescent="0.25">
      <c r="B1158" s="1"/>
      <c r="C1158" s="1"/>
      <c r="D1158" s="1"/>
      <c r="E1158" s="1"/>
      <c r="F1158" s="24">
        <f t="shared" si="27"/>
        <v>0</v>
      </c>
    </row>
    <row r="1159" spans="2:6" x14ac:dyDescent="0.25">
      <c r="B1159" s="10" t="s">
        <v>20</v>
      </c>
      <c r="C1159" s="1"/>
      <c r="D1159" s="1"/>
      <c r="E1159" s="4">
        <f>SUM(E1146:E1158)</f>
        <v>2667</v>
      </c>
      <c r="F1159" s="22">
        <f>SUM(F1146:F1158)</f>
        <v>62.978180787758575</v>
      </c>
    </row>
    <row r="1160" spans="2:6" x14ac:dyDescent="0.25">
      <c r="B1160" s="4" t="s">
        <v>22</v>
      </c>
      <c r="C1160" s="6"/>
      <c r="D1160" s="6"/>
      <c r="E1160" s="6"/>
      <c r="F1160" s="23">
        <f>F1144+F1159</f>
        <v>79.96818078775857</v>
      </c>
    </row>
    <row r="1161" spans="2:6" x14ac:dyDescent="0.25">
      <c r="B1161" s="7"/>
      <c r="C1161" s="7"/>
      <c r="D1161" s="7"/>
      <c r="E1161" s="7"/>
      <c r="F1161" s="7"/>
    </row>
    <row r="1162" spans="2:6" x14ac:dyDescent="0.25">
      <c r="B1162" s="13"/>
      <c r="C1162" s="13"/>
      <c r="D1162" s="13"/>
      <c r="E1162" s="13"/>
      <c r="F1162" s="13"/>
    </row>
    <row r="1163" spans="2:6" x14ac:dyDescent="0.25">
      <c r="B1163" s="13"/>
      <c r="C1163" s="13"/>
      <c r="D1163" s="13"/>
      <c r="E1163" s="13"/>
      <c r="F1163" s="13"/>
    </row>
    <row r="1164" spans="2:6" x14ac:dyDescent="0.25">
      <c r="B1164" s="39" t="s">
        <v>23</v>
      </c>
      <c r="C1164" s="38"/>
      <c r="D1164" s="13"/>
      <c r="E1164" s="39" t="s">
        <v>24</v>
      </c>
      <c r="F1164" s="38"/>
    </row>
    <row r="1166" spans="2:6" ht="33" customHeight="1" x14ac:dyDescent="0.25">
      <c r="B1166" s="37" t="s">
        <v>138</v>
      </c>
      <c r="C1166" s="37"/>
      <c r="D1166" s="37"/>
      <c r="E1166" s="37"/>
      <c r="F1166" s="37"/>
    </row>
    <row r="1167" spans="2:6" ht="25.15" customHeight="1" x14ac:dyDescent="0.25">
      <c r="B1167" s="37" t="s">
        <v>1</v>
      </c>
      <c r="C1167" s="37"/>
      <c r="D1167" s="37"/>
      <c r="E1167" s="37"/>
      <c r="F1167" s="37"/>
    </row>
    <row r="1168" spans="2:6" x14ac:dyDescent="0.25">
      <c r="B1168" s="14" t="s">
        <v>0</v>
      </c>
      <c r="C1168" s="14"/>
      <c r="D1168" s="14"/>
      <c r="E1168" s="14"/>
      <c r="F1168" s="14"/>
    </row>
    <row r="1169" spans="2:6" x14ac:dyDescent="0.25">
      <c r="B1169" s="12"/>
      <c r="C1169" s="38" t="s">
        <v>25</v>
      </c>
      <c r="D1169" s="38"/>
      <c r="E1169" s="12">
        <v>3834.1</v>
      </c>
      <c r="F1169" s="12" t="s">
        <v>26</v>
      </c>
    </row>
    <row r="1171" spans="2:6" ht="60" x14ac:dyDescent="0.25">
      <c r="B1171" s="1" t="s">
        <v>2</v>
      </c>
      <c r="C1171" s="1" t="s">
        <v>4</v>
      </c>
      <c r="D1171" s="1" t="s">
        <v>3</v>
      </c>
      <c r="E1171" s="1" t="s">
        <v>447</v>
      </c>
      <c r="F1171" s="1" t="s">
        <v>5</v>
      </c>
    </row>
    <row r="1172" spans="2:6" x14ac:dyDescent="0.25">
      <c r="B1172" s="1"/>
      <c r="C1172" s="1"/>
      <c r="D1172" s="1"/>
      <c r="E1172" s="1"/>
      <c r="F1172" s="1"/>
    </row>
    <row r="1173" spans="2:6" x14ac:dyDescent="0.25">
      <c r="B1173" s="3" t="s">
        <v>6</v>
      </c>
      <c r="C1173" s="1"/>
      <c r="D1173" s="1"/>
      <c r="E1173" s="1"/>
      <c r="F1173" s="1"/>
    </row>
    <row r="1174" spans="2:6" x14ac:dyDescent="0.25">
      <c r="B1174" s="5" t="s">
        <v>7</v>
      </c>
      <c r="C1174" s="1"/>
      <c r="D1174" s="1"/>
      <c r="E1174" s="1"/>
      <c r="F1174" s="5">
        <v>2.0099999999999998</v>
      </c>
    </row>
    <row r="1175" spans="2:6" x14ac:dyDescent="0.25">
      <c r="B1175" s="5" t="s">
        <v>8</v>
      </c>
      <c r="C1175" s="1"/>
      <c r="D1175" s="1"/>
      <c r="E1175" s="1"/>
      <c r="F1175" s="5">
        <v>5.34</v>
      </c>
    </row>
    <row r="1176" spans="2:6" x14ac:dyDescent="0.25">
      <c r="B1176" s="15" t="s">
        <v>30</v>
      </c>
      <c r="C1176" s="1"/>
      <c r="D1176" s="1"/>
      <c r="E1176" s="1"/>
      <c r="F1176" s="5">
        <v>0.06</v>
      </c>
    </row>
    <row r="1177" spans="2:6" ht="24.75" x14ac:dyDescent="0.25">
      <c r="B1177" s="5" t="s">
        <v>11</v>
      </c>
      <c r="C1177" s="1"/>
      <c r="D1177" s="1"/>
      <c r="E1177" s="1"/>
      <c r="F1177" s="5">
        <v>0.55000000000000004</v>
      </c>
    </row>
    <row r="1178" spans="2:6" ht="24.75" x14ac:dyDescent="0.25">
      <c r="B1178" s="5" t="s">
        <v>12</v>
      </c>
      <c r="C1178" s="1"/>
      <c r="D1178" s="1"/>
      <c r="E1178" s="1"/>
      <c r="F1178" s="5">
        <v>0.53</v>
      </c>
    </row>
    <row r="1179" spans="2:6" ht="24.75" x14ac:dyDescent="0.25">
      <c r="B1179" s="5" t="s">
        <v>13</v>
      </c>
      <c r="C1179" s="1"/>
      <c r="D1179" s="1"/>
      <c r="E1179" s="1"/>
      <c r="F1179" s="5">
        <v>0.19</v>
      </c>
    </row>
    <row r="1180" spans="2:6" ht="24.75" x14ac:dyDescent="0.25">
      <c r="B1180" s="5" t="s">
        <v>14</v>
      </c>
      <c r="C1180" s="1"/>
      <c r="D1180" s="1"/>
      <c r="E1180" s="1"/>
      <c r="F1180" s="5">
        <v>1.25</v>
      </c>
    </row>
    <row r="1181" spans="2:6" ht="24.75" x14ac:dyDescent="0.25">
      <c r="B1181" s="5" t="s">
        <v>9</v>
      </c>
      <c r="C1181" s="1"/>
      <c r="D1181" s="1"/>
      <c r="E1181" s="1"/>
      <c r="F1181" s="5">
        <v>0.26</v>
      </c>
    </row>
    <row r="1182" spans="2:6" ht="24.75" x14ac:dyDescent="0.25">
      <c r="B1182" s="5" t="s">
        <v>15</v>
      </c>
      <c r="C1182" s="1"/>
      <c r="D1182" s="1"/>
      <c r="E1182" s="1"/>
      <c r="F1182" s="5">
        <v>0.27</v>
      </c>
    </row>
    <row r="1183" spans="2:6" ht="24.75" x14ac:dyDescent="0.25">
      <c r="B1183" s="5" t="s">
        <v>16</v>
      </c>
      <c r="C1183" s="1"/>
      <c r="D1183" s="1"/>
      <c r="E1183" s="1"/>
      <c r="F1183" s="5">
        <v>0.28999999999999998</v>
      </c>
    </row>
    <row r="1184" spans="2:6" x14ac:dyDescent="0.25">
      <c r="B1184" s="5" t="s">
        <v>17</v>
      </c>
      <c r="C1184" s="1"/>
      <c r="D1184" s="1"/>
      <c r="E1184" s="1"/>
      <c r="F1184" s="5">
        <v>0.32</v>
      </c>
    </row>
    <row r="1185" spans="2:6" x14ac:dyDescent="0.25">
      <c r="B1185" s="5" t="s">
        <v>18</v>
      </c>
      <c r="C1185" s="1"/>
      <c r="D1185" s="1"/>
      <c r="E1185" s="1"/>
      <c r="F1185" s="5">
        <v>1.97</v>
      </c>
    </row>
    <row r="1186" spans="2:6" x14ac:dyDescent="0.25">
      <c r="B1186" s="5" t="s">
        <v>19</v>
      </c>
      <c r="C1186" s="1"/>
      <c r="D1186" s="1"/>
      <c r="E1186" s="1"/>
      <c r="F1186" s="5">
        <v>3.95</v>
      </c>
    </row>
    <row r="1187" spans="2:6" x14ac:dyDescent="0.25">
      <c r="B1187" s="10" t="s">
        <v>20</v>
      </c>
      <c r="C1187" s="1"/>
      <c r="D1187" s="1"/>
      <c r="E1187" s="1"/>
      <c r="F1187" s="4">
        <f>SUM(F1174:F1186)</f>
        <v>16.989999999999998</v>
      </c>
    </row>
    <row r="1188" spans="2:6" x14ac:dyDescent="0.25">
      <c r="B1188" s="3" t="s">
        <v>21</v>
      </c>
      <c r="C1188" s="1"/>
      <c r="D1188" s="1"/>
      <c r="E1188" s="1"/>
      <c r="F1188" s="1"/>
    </row>
    <row r="1189" spans="2:6" x14ac:dyDescent="0.25">
      <c r="B1189" s="1" t="s">
        <v>373</v>
      </c>
      <c r="C1189" s="1" t="s">
        <v>265</v>
      </c>
      <c r="D1189" s="1">
        <v>0.2</v>
      </c>
      <c r="E1189" s="1">
        <v>10</v>
      </c>
      <c r="F1189" s="24">
        <f>E1189/3834.1*1000/12</f>
        <v>0.21734783478086991</v>
      </c>
    </row>
    <row r="1190" spans="2:6" x14ac:dyDescent="0.25">
      <c r="B1190" s="1" t="s">
        <v>327</v>
      </c>
      <c r="C1190" s="1" t="s">
        <v>261</v>
      </c>
      <c r="D1190" s="1">
        <v>292</v>
      </c>
      <c r="E1190" s="1">
        <v>248</v>
      </c>
      <c r="F1190" s="24">
        <f t="shared" ref="F1190:F1201" si="28">E1190/3834.1*1000/12</f>
        <v>5.3902263025655737</v>
      </c>
    </row>
    <row r="1191" spans="2:6" x14ac:dyDescent="0.25">
      <c r="B1191" s="1" t="s">
        <v>275</v>
      </c>
      <c r="C1191" s="1" t="s">
        <v>26</v>
      </c>
      <c r="D1191" s="1">
        <v>157</v>
      </c>
      <c r="E1191" s="1">
        <v>235.5</v>
      </c>
      <c r="F1191" s="24">
        <f t="shared" si="28"/>
        <v>5.1185415090894866</v>
      </c>
    </row>
    <row r="1192" spans="2:6" x14ac:dyDescent="0.25">
      <c r="B1192" s="1" t="s">
        <v>319</v>
      </c>
      <c r="C1192" s="1" t="s">
        <v>261</v>
      </c>
      <c r="D1192" s="1">
        <v>200</v>
      </c>
      <c r="E1192" s="1">
        <v>260</v>
      </c>
      <c r="F1192" s="24">
        <f t="shared" si="28"/>
        <v>5.6510437043026185</v>
      </c>
    </row>
    <row r="1193" spans="2:6" x14ac:dyDescent="0.25">
      <c r="B1193" s="1" t="s">
        <v>320</v>
      </c>
      <c r="C1193" s="1" t="s">
        <v>261</v>
      </c>
      <c r="D1193" s="1">
        <v>80</v>
      </c>
      <c r="E1193" s="1">
        <v>152</v>
      </c>
      <c r="F1193" s="24">
        <f t="shared" si="28"/>
        <v>3.3036870886692227</v>
      </c>
    </row>
    <row r="1194" spans="2:6" x14ac:dyDescent="0.25">
      <c r="B1194" s="1" t="s">
        <v>325</v>
      </c>
      <c r="C1194" s="1" t="s">
        <v>261</v>
      </c>
      <c r="D1194" s="1">
        <v>240</v>
      </c>
      <c r="E1194" s="1">
        <v>456</v>
      </c>
      <c r="F1194" s="24">
        <f t="shared" si="28"/>
        <v>9.9110612660076693</v>
      </c>
    </row>
    <row r="1195" spans="2:6" x14ac:dyDescent="0.25">
      <c r="B1195" s="1" t="s">
        <v>343</v>
      </c>
      <c r="C1195" s="1" t="s">
        <v>256</v>
      </c>
      <c r="D1195" s="1">
        <v>6</v>
      </c>
      <c r="E1195" s="1">
        <v>900</v>
      </c>
      <c r="F1195" s="24">
        <f t="shared" si="28"/>
        <v>19.561305130278292</v>
      </c>
    </row>
    <row r="1196" spans="2:6" x14ac:dyDescent="0.25">
      <c r="B1196" s="1" t="s">
        <v>322</v>
      </c>
      <c r="C1196" s="1" t="s">
        <v>261</v>
      </c>
      <c r="D1196" s="1">
        <v>300</v>
      </c>
      <c r="E1196" s="1">
        <v>360</v>
      </c>
      <c r="F1196" s="24">
        <f t="shared" si="28"/>
        <v>7.824522052111317</v>
      </c>
    </row>
    <row r="1197" spans="2:6" x14ac:dyDescent="0.25">
      <c r="B1197" s="1" t="s">
        <v>323</v>
      </c>
      <c r="C1197" s="1" t="s">
        <v>261</v>
      </c>
      <c r="D1197" s="1">
        <v>850</v>
      </c>
      <c r="E1197" s="1">
        <v>850</v>
      </c>
      <c r="F1197" s="24">
        <f t="shared" si="28"/>
        <v>18.474565956373944</v>
      </c>
    </row>
    <row r="1198" spans="2:6" x14ac:dyDescent="0.25">
      <c r="B1198" s="1"/>
      <c r="C1198" s="1"/>
      <c r="D1198" s="1"/>
      <c r="E1198" s="1"/>
      <c r="F1198" s="24">
        <f t="shared" si="28"/>
        <v>0</v>
      </c>
    </row>
    <row r="1199" spans="2:6" x14ac:dyDescent="0.25">
      <c r="B1199" s="1"/>
      <c r="C1199" s="1"/>
      <c r="D1199" s="1"/>
      <c r="E1199" s="1"/>
      <c r="F1199" s="24">
        <f t="shared" si="28"/>
        <v>0</v>
      </c>
    </row>
    <row r="1200" spans="2:6" x14ac:dyDescent="0.25">
      <c r="B1200" s="1"/>
      <c r="C1200" s="1"/>
      <c r="D1200" s="1"/>
      <c r="E1200" s="1"/>
      <c r="F1200" s="24">
        <f t="shared" si="28"/>
        <v>0</v>
      </c>
    </row>
    <row r="1201" spans="2:6" x14ac:dyDescent="0.25">
      <c r="B1201" s="1"/>
      <c r="C1201" s="1"/>
      <c r="D1201" s="1"/>
      <c r="E1201" s="1"/>
      <c r="F1201" s="24">
        <f t="shared" si="28"/>
        <v>0</v>
      </c>
    </row>
    <row r="1202" spans="2:6" x14ac:dyDescent="0.25">
      <c r="B1202" s="10" t="s">
        <v>20</v>
      </c>
      <c r="C1202" s="1"/>
      <c r="D1202" s="1"/>
      <c r="E1202" s="4">
        <f>SUM(E1189:E1201)</f>
        <v>3471.5</v>
      </c>
      <c r="F1202" s="22">
        <f>SUM(F1189:F1201)</f>
        <v>75.452300844178993</v>
      </c>
    </row>
    <row r="1203" spans="2:6" x14ac:dyDescent="0.25">
      <c r="B1203" s="4" t="s">
        <v>22</v>
      </c>
      <c r="C1203" s="6"/>
      <c r="D1203" s="6"/>
      <c r="E1203" s="6"/>
      <c r="F1203" s="23">
        <f>F1187+F1202</f>
        <v>92.442300844178988</v>
      </c>
    </row>
    <row r="1204" spans="2:6" x14ac:dyDescent="0.25">
      <c r="B1204" s="7"/>
      <c r="C1204" s="7"/>
      <c r="D1204" s="7"/>
      <c r="E1204" s="7"/>
      <c r="F1204" s="7"/>
    </row>
    <row r="1205" spans="2:6" x14ac:dyDescent="0.25">
      <c r="B1205" s="13"/>
      <c r="C1205" s="13"/>
      <c r="D1205" s="13"/>
      <c r="E1205" s="13"/>
      <c r="F1205" s="13"/>
    </row>
    <row r="1206" spans="2:6" x14ac:dyDescent="0.25">
      <c r="B1206" s="13"/>
      <c r="C1206" s="13"/>
      <c r="D1206" s="13"/>
      <c r="E1206" s="13"/>
      <c r="F1206" s="13"/>
    </row>
    <row r="1207" spans="2:6" x14ac:dyDescent="0.25">
      <c r="B1207" s="39" t="s">
        <v>23</v>
      </c>
      <c r="C1207" s="38"/>
      <c r="D1207" s="13"/>
      <c r="E1207" s="39" t="s">
        <v>24</v>
      </c>
      <c r="F1207" s="38"/>
    </row>
  </sheetData>
  <mergeCells count="145">
    <mergeCell ref="B1:F1"/>
    <mergeCell ref="B2:F2"/>
    <mergeCell ref="C4:D4"/>
    <mergeCell ref="B41:D41"/>
    <mergeCell ref="E41:F41"/>
    <mergeCell ref="B43:F43"/>
    <mergeCell ref="C88:D88"/>
    <mergeCell ref="B125:D125"/>
    <mergeCell ref="E125:F125"/>
    <mergeCell ref="B127:F127"/>
    <mergeCell ref="B128:F128"/>
    <mergeCell ref="C130:D130"/>
    <mergeCell ref="B44:F44"/>
    <mergeCell ref="C46:D46"/>
    <mergeCell ref="B83:D83"/>
    <mergeCell ref="E83:F83"/>
    <mergeCell ref="B85:F85"/>
    <mergeCell ref="B86:F86"/>
    <mergeCell ref="B211:F211"/>
    <mergeCell ref="B212:F212"/>
    <mergeCell ref="C214:D214"/>
    <mergeCell ref="B251:D251"/>
    <mergeCell ref="E251:F251"/>
    <mergeCell ref="B253:F253"/>
    <mergeCell ref="B167:D167"/>
    <mergeCell ref="E167:F167"/>
    <mergeCell ref="B169:F169"/>
    <mergeCell ref="B170:F170"/>
    <mergeCell ref="C172:D172"/>
    <mergeCell ref="B209:D209"/>
    <mergeCell ref="E209:F209"/>
    <mergeCell ref="C298:D298"/>
    <mergeCell ref="B335:D335"/>
    <mergeCell ref="E335:F335"/>
    <mergeCell ref="B337:F337"/>
    <mergeCell ref="B338:F338"/>
    <mergeCell ref="C340:D340"/>
    <mergeCell ref="B254:F254"/>
    <mergeCell ref="C256:D256"/>
    <mergeCell ref="B293:D293"/>
    <mergeCell ref="E293:F293"/>
    <mergeCell ref="B295:F295"/>
    <mergeCell ref="B296:F296"/>
    <mergeCell ref="B420:F420"/>
    <mergeCell ref="B421:F421"/>
    <mergeCell ref="C423:D423"/>
    <mergeCell ref="B460:D460"/>
    <mergeCell ref="E460:F460"/>
    <mergeCell ref="B462:F462"/>
    <mergeCell ref="B377:D377"/>
    <mergeCell ref="E377:F377"/>
    <mergeCell ref="B379:F379"/>
    <mergeCell ref="B380:F380"/>
    <mergeCell ref="C382:D382"/>
    <mergeCell ref="B418:D418"/>
    <mergeCell ref="E418:F418"/>
    <mergeCell ref="C509:D509"/>
    <mergeCell ref="B544:D544"/>
    <mergeCell ref="E544:F544"/>
    <mergeCell ref="B546:F546"/>
    <mergeCell ref="B547:F547"/>
    <mergeCell ref="C549:D549"/>
    <mergeCell ref="B463:F463"/>
    <mergeCell ref="C465:D465"/>
    <mergeCell ref="B504:D504"/>
    <mergeCell ref="E504:F504"/>
    <mergeCell ref="B506:F506"/>
    <mergeCell ref="B507:F507"/>
    <mergeCell ref="B631:F631"/>
    <mergeCell ref="B632:F632"/>
    <mergeCell ref="C634:D634"/>
    <mergeCell ref="B671:D671"/>
    <mergeCell ref="E671:F671"/>
    <mergeCell ref="B673:F673"/>
    <mergeCell ref="B586:D586"/>
    <mergeCell ref="E586:F586"/>
    <mergeCell ref="B588:F588"/>
    <mergeCell ref="B589:F589"/>
    <mergeCell ref="C591:D591"/>
    <mergeCell ref="B628:D628"/>
    <mergeCell ref="E628:F628"/>
    <mergeCell ref="C716:D716"/>
    <mergeCell ref="B753:D753"/>
    <mergeCell ref="E753:F753"/>
    <mergeCell ref="B755:F755"/>
    <mergeCell ref="B756:F756"/>
    <mergeCell ref="C758:D758"/>
    <mergeCell ref="B674:F674"/>
    <mergeCell ref="C676:D676"/>
    <mergeCell ref="B711:D711"/>
    <mergeCell ref="E711:F711"/>
    <mergeCell ref="B713:F713"/>
    <mergeCell ref="B714:F714"/>
    <mergeCell ref="B837:F837"/>
    <mergeCell ref="B838:F838"/>
    <mergeCell ref="C840:D840"/>
    <mergeCell ref="B876:D876"/>
    <mergeCell ref="E876:F876"/>
    <mergeCell ref="B878:F878"/>
    <mergeCell ref="B794:D794"/>
    <mergeCell ref="E794:F794"/>
    <mergeCell ref="B796:F796"/>
    <mergeCell ref="B797:F797"/>
    <mergeCell ref="C799:D799"/>
    <mergeCell ref="B835:D835"/>
    <mergeCell ref="E835:F835"/>
    <mergeCell ref="C922:D922"/>
    <mergeCell ref="B957:D957"/>
    <mergeCell ref="E957:F957"/>
    <mergeCell ref="B960:F960"/>
    <mergeCell ref="B961:F961"/>
    <mergeCell ref="C963:D963"/>
    <mergeCell ref="B879:F879"/>
    <mergeCell ref="C881:D881"/>
    <mergeCell ref="B917:D917"/>
    <mergeCell ref="E917:F917"/>
    <mergeCell ref="B919:F919"/>
    <mergeCell ref="B920:F920"/>
    <mergeCell ref="B1042:F1042"/>
    <mergeCell ref="B1043:F1043"/>
    <mergeCell ref="C1045:D1045"/>
    <mergeCell ref="B1081:D1081"/>
    <mergeCell ref="E1081:F1081"/>
    <mergeCell ref="B1083:F1083"/>
    <mergeCell ref="B999:D999"/>
    <mergeCell ref="E999:F999"/>
    <mergeCell ref="B1001:F1001"/>
    <mergeCell ref="B1002:F1002"/>
    <mergeCell ref="C1004:D1004"/>
    <mergeCell ref="B1040:D1040"/>
    <mergeCell ref="E1040:F1040"/>
    <mergeCell ref="B1207:C1207"/>
    <mergeCell ref="E1207:F1207"/>
    <mergeCell ref="C1126:D1126"/>
    <mergeCell ref="B1164:C1164"/>
    <mergeCell ref="E1164:F1164"/>
    <mergeCell ref="B1166:F1166"/>
    <mergeCell ref="B1167:F1167"/>
    <mergeCell ref="C1169:D1169"/>
    <mergeCell ref="B1084:F1084"/>
    <mergeCell ref="C1086:D1086"/>
    <mergeCell ref="B1121:D1121"/>
    <mergeCell ref="E1121:F1121"/>
    <mergeCell ref="B1123:F1123"/>
    <mergeCell ref="B1124:F112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3"/>
  <sheetViews>
    <sheetView topLeftCell="A157" workbookViewId="0">
      <selection activeCell="B163" sqref="B163"/>
    </sheetView>
  </sheetViews>
  <sheetFormatPr defaultRowHeight="15" x14ac:dyDescent="0.25"/>
  <cols>
    <col min="2" max="2" width="38.42578125" customWidth="1"/>
    <col min="6" max="6" width="11.42578125" bestFit="1" customWidth="1"/>
  </cols>
  <sheetData>
    <row r="1" spans="2:6" ht="35.450000000000003" customHeight="1" x14ac:dyDescent="0.25">
      <c r="B1" s="37" t="s">
        <v>139</v>
      </c>
      <c r="C1" s="37"/>
      <c r="D1" s="37"/>
      <c r="E1" s="37"/>
      <c r="F1" s="37"/>
    </row>
    <row r="2" spans="2:6" ht="24" customHeight="1" x14ac:dyDescent="0.25">
      <c r="B2" s="37" t="s">
        <v>1</v>
      </c>
      <c r="C2" s="37"/>
      <c r="D2" s="37"/>
      <c r="E2" s="37"/>
      <c r="F2" s="37"/>
    </row>
    <row r="3" spans="2:6" x14ac:dyDescent="0.25">
      <c r="B3" s="14" t="s">
        <v>0</v>
      </c>
      <c r="C3" s="14"/>
      <c r="D3" s="14"/>
      <c r="E3" s="14"/>
      <c r="F3" s="14"/>
    </row>
    <row r="4" spans="2:6" x14ac:dyDescent="0.25">
      <c r="B4" s="12"/>
      <c r="C4" s="38" t="s">
        <v>25</v>
      </c>
      <c r="D4" s="38"/>
      <c r="E4" s="12">
        <v>2938.7</v>
      </c>
      <c r="F4" s="12" t="s">
        <v>26</v>
      </c>
    </row>
    <row r="6" spans="2:6" ht="60" x14ac:dyDescent="0.25">
      <c r="B6" s="1" t="s">
        <v>2</v>
      </c>
      <c r="C6" s="1" t="s">
        <v>4</v>
      </c>
      <c r="D6" s="1" t="s">
        <v>3</v>
      </c>
      <c r="E6" s="1" t="s">
        <v>447</v>
      </c>
      <c r="F6" s="1" t="s">
        <v>5</v>
      </c>
    </row>
    <row r="7" spans="2:6" x14ac:dyDescent="0.25">
      <c r="B7" s="1"/>
      <c r="C7" s="1"/>
      <c r="D7" s="1"/>
      <c r="E7" s="1"/>
      <c r="F7" s="1"/>
    </row>
    <row r="8" spans="2:6" x14ac:dyDescent="0.25">
      <c r="B8" s="3" t="s">
        <v>6</v>
      </c>
      <c r="C8" s="1"/>
      <c r="D8" s="1"/>
      <c r="E8" s="1"/>
      <c r="F8" s="1"/>
    </row>
    <row r="9" spans="2:6" x14ac:dyDescent="0.25">
      <c r="B9" s="5" t="s">
        <v>7</v>
      </c>
      <c r="C9" s="1"/>
      <c r="D9" s="1"/>
      <c r="E9" s="1"/>
      <c r="F9" s="5">
        <v>2.0099999999999998</v>
      </c>
    </row>
    <row r="10" spans="2:6" x14ac:dyDescent="0.25">
      <c r="B10" s="5" t="s">
        <v>8</v>
      </c>
      <c r="C10" s="1"/>
      <c r="D10" s="1"/>
      <c r="E10" s="1"/>
      <c r="F10" s="5">
        <v>5.34</v>
      </c>
    </row>
    <row r="11" spans="2:6" x14ac:dyDescent="0.25">
      <c r="B11" s="15" t="s">
        <v>30</v>
      </c>
      <c r="C11" s="1"/>
      <c r="D11" s="1"/>
      <c r="E11" s="1"/>
      <c r="F11" s="5">
        <v>0.06</v>
      </c>
    </row>
    <row r="12" spans="2:6" ht="24.75" x14ac:dyDescent="0.25">
      <c r="B12" s="5" t="s">
        <v>11</v>
      </c>
      <c r="C12" s="1"/>
      <c r="D12" s="1"/>
      <c r="E12" s="1"/>
      <c r="F12" s="5">
        <v>0.55000000000000004</v>
      </c>
    </row>
    <row r="13" spans="2:6" ht="24.75" x14ac:dyDescent="0.25">
      <c r="B13" s="5" t="s">
        <v>12</v>
      </c>
      <c r="C13" s="1"/>
      <c r="D13" s="1"/>
      <c r="E13" s="1"/>
      <c r="F13" s="5">
        <v>0.53</v>
      </c>
    </row>
    <row r="14" spans="2:6" ht="24.75" x14ac:dyDescent="0.25">
      <c r="B14" s="5" t="s">
        <v>13</v>
      </c>
      <c r="C14" s="1"/>
      <c r="D14" s="1"/>
      <c r="E14" s="1"/>
      <c r="F14" s="5">
        <v>0.19</v>
      </c>
    </row>
    <row r="15" spans="2:6" ht="24.75" x14ac:dyDescent="0.25">
      <c r="B15" s="5" t="s">
        <v>14</v>
      </c>
      <c r="C15" s="1"/>
      <c r="D15" s="1"/>
      <c r="E15" s="1"/>
      <c r="F15" s="5">
        <v>1.25</v>
      </c>
    </row>
    <row r="16" spans="2:6" ht="24.75" x14ac:dyDescent="0.25">
      <c r="B16" s="5" t="s">
        <v>9</v>
      </c>
      <c r="C16" s="1"/>
      <c r="D16" s="1"/>
      <c r="E16" s="1"/>
      <c r="F16" s="5">
        <v>0.26</v>
      </c>
    </row>
    <row r="17" spans="2:6" ht="24.75" x14ac:dyDescent="0.25">
      <c r="B17" s="5" t="s">
        <v>15</v>
      </c>
      <c r="C17" s="1"/>
      <c r="D17" s="1"/>
      <c r="E17" s="1"/>
      <c r="F17" s="5">
        <v>0.01</v>
      </c>
    </row>
    <row r="18" spans="2:6" ht="24.75" x14ac:dyDescent="0.25">
      <c r="B18" s="5" t="s">
        <v>16</v>
      </c>
      <c r="C18" s="1"/>
      <c r="D18" s="1"/>
      <c r="E18" s="1"/>
      <c r="F18" s="5">
        <v>0.28999999999999998</v>
      </c>
    </row>
    <row r="19" spans="2:6" x14ac:dyDescent="0.25">
      <c r="B19" s="5" t="s">
        <v>17</v>
      </c>
      <c r="C19" s="1"/>
      <c r="D19" s="1"/>
      <c r="E19" s="1"/>
      <c r="F19" s="5">
        <v>0.32</v>
      </c>
    </row>
    <row r="20" spans="2:6" x14ac:dyDescent="0.25">
      <c r="B20" s="5" t="s">
        <v>18</v>
      </c>
      <c r="C20" s="1"/>
      <c r="D20" s="1"/>
      <c r="E20" s="1"/>
      <c r="F20" s="5">
        <v>1.97</v>
      </c>
    </row>
    <row r="21" spans="2:6" x14ac:dyDescent="0.25">
      <c r="B21" s="5" t="s">
        <v>19</v>
      </c>
      <c r="C21" s="1"/>
      <c r="D21" s="1"/>
      <c r="E21" s="1"/>
      <c r="F21" s="5">
        <v>3.95</v>
      </c>
    </row>
    <row r="22" spans="2:6" x14ac:dyDescent="0.25">
      <c r="B22" s="10" t="s">
        <v>20</v>
      </c>
      <c r="C22" s="1"/>
      <c r="D22" s="1"/>
      <c r="E22" s="1"/>
      <c r="F22" s="4">
        <f>SUM(F9:F21)</f>
        <v>16.729999999999997</v>
      </c>
    </row>
    <row r="23" spans="2:6" x14ac:dyDescent="0.25">
      <c r="B23" s="3" t="s">
        <v>21</v>
      </c>
      <c r="C23" s="1"/>
      <c r="D23" s="1"/>
      <c r="E23" s="1"/>
      <c r="F23" s="1"/>
    </row>
    <row r="24" spans="2:6" x14ac:dyDescent="0.25">
      <c r="B24" s="1"/>
      <c r="C24" s="1"/>
      <c r="D24" s="1"/>
      <c r="E24" s="1"/>
      <c r="F24" s="24"/>
    </row>
    <row r="25" spans="2:6" x14ac:dyDescent="0.25">
      <c r="B25" s="1" t="s">
        <v>373</v>
      </c>
      <c r="C25" s="1" t="s">
        <v>368</v>
      </c>
      <c r="D25" s="1">
        <v>1</v>
      </c>
      <c r="E25" s="1">
        <v>20</v>
      </c>
      <c r="F25" s="24">
        <f t="shared" ref="F25:F36" si="0">E25/2938.7*1000/12</f>
        <v>0.56714420208482219</v>
      </c>
    </row>
    <row r="26" spans="2:6" x14ac:dyDescent="0.25">
      <c r="B26" s="1" t="s">
        <v>319</v>
      </c>
      <c r="C26" s="1" t="s">
        <v>261</v>
      </c>
      <c r="D26" s="1">
        <v>60</v>
      </c>
      <c r="E26" s="1">
        <v>78</v>
      </c>
      <c r="F26" s="24">
        <f t="shared" si="0"/>
        <v>2.2118623881308062</v>
      </c>
    </row>
    <row r="27" spans="2:6" x14ac:dyDescent="0.25">
      <c r="B27" s="1" t="s">
        <v>320</v>
      </c>
      <c r="C27" s="1" t="s">
        <v>261</v>
      </c>
      <c r="D27" s="1">
        <v>20</v>
      </c>
      <c r="E27" s="1">
        <v>38</v>
      </c>
      <c r="F27" s="24">
        <f t="shared" si="0"/>
        <v>1.077573983961162</v>
      </c>
    </row>
    <row r="28" spans="2:6" x14ac:dyDescent="0.25">
      <c r="B28" s="1" t="s">
        <v>325</v>
      </c>
      <c r="C28" s="1" t="s">
        <v>261</v>
      </c>
      <c r="D28" s="1">
        <v>20</v>
      </c>
      <c r="E28" s="1">
        <v>38</v>
      </c>
      <c r="F28" s="24">
        <f t="shared" si="0"/>
        <v>1.077573983961162</v>
      </c>
    </row>
    <row r="29" spans="2:6" x14ac:dyDescent="0.25">
      <c r="B29" s="1" t="s">
        <v>322</v>
      </c>
      <c r="C29" s="1" t="s">
        <v>261</v>
      </c>
      <c r="D29" s="1">
        <v>300</v>
      </c>
      <c r="E29" s="1">
        <v>360</v>
      </c>
      <c r="F29" s="24">
        <f t="shared" si="0"/>
        <v>10.208595637526798</v>
      </c>
    </row>
    <row r="30" spans="2:6" x14ac:dyDescent="0.25">
      <c r="B30" s="1" t="s">
        <v>323</v>
      </c>
      <c r="C30" s="1" t="s">
        <v>261</v>
      </c>
      <c r="D30" s="1">
        <v>1100</v>
      </c>
      <c r="E30" s="1">
        <v>1100</v>
      </c>
      <c r="F30" s="24">
        <f t="shared" si="0"/>
        <v>31.192931114665214</v>
      </c>
    </row>
    <row r="31" spans="2:6" x14ac:dyDescent="0.25">
      <c r="B31" s="1" t="s">
        <v>343</v>
      </c>
      <c r="C31" s="1" t="s">
        <v>256</v>
      </c>
      <c r="D31" s="1">
        <v>4</v>
      </c>
      <c r="E31" s="1">
        <v>600</v>
      </c>
      <c r="F31" s="24">
        <f t="shared" si="0"/>
        <v>17.014326062544665</v>
      </c>
    </row>
    <row r="32" spans="2:6" x14ac:dyDescent="0.25">
      <c r="B32" s="1"/>
      <c r="C32" s="1"/>
      <c r="D32" s="1"/>
      <c r="E32" s="1"/>
      <c r="F32" s="24">
        <f t="shared" si="0"/>
        <v>0</v>
      </c>
    </row>
    <row r="33" spans="2:6" x14ac:dyDescent="0.25">
      <c r="B33" s="1"/>
      <c r="C33" s="1"/>
      <c r="D33" s="1"/>
      <c r="E33" s="1"/>
      <c r="F33" s="24">
        <f t="shared" si="0"/>
        <v>0</v>
      </c>
    </row>
    <row r="34" spans="2:6" x14ac:dyDescent="0.25">
      <c r="B34" s="1"/>
      <c r="C34" s="1"/>
      <c r="D34" s="1"/>
      <c r="E34" s="1"/>
      <c r="F34" s="24">
        <f t="shared" si="0"/>
        <v>0</v>
      </c>
    </row>
    <row r="35" spans="2:6" x14ac:dyDescent="0.25">
      <c r="B35" s="1"/>
      <c r="C35" s="1"/>
      <c r="D35" s="1"/>
      <c r="E35" s="1"/>
      <c r="F35" s="24">
        <f t="shared" si="0"/>
        <v>0</v>
      </c>
    </row>
    <row r="36" spans="2:6" x14ac:dyDescent="0.25">
      <c r="B36" s="1"/>
      <c r="C36" s="1"/>
      <c r="D36" s="1"/>
      <c r="E36" s="1"/>
      <c r="F36" s="24">
        <f t="shared" si="0"/>
        <v>0</v>
      </c>
    </row>
    <row r="37" spans="2:6" x14ac:dyDescent="0.25">
      <c r="B37" s="10" t="s">
        <v>20</v>
      </c>
      <c r="C37" s="1"/>
      <c r="D37" s="1"/>
      <c r="E37" s="4">
        <f>SUM(E24:E36)</f>
        <v>2234</v>
      </c>
      <c r="F37" s="22">
        <f>SUM(F24:F36)</f>
        <v>63.350007372874629</v>
      </c>
    </row>
    <row r="38" spans="2:6" x14ac:dyDescent="0.25">
      <c r="B38" s="4" t="s">
        <v>22</v>
      </c>
      <c r="C38" s="6"/>
      <c r="D38" s="6"/>
      <c r="E38" s="6"/>
      <c r="F38" s="23">
        <f>F22+F37</f>
        <v>80.080007372874633</v>
      </c>
    </row>
    <row r="39" spans="2:6" x14ac:dyDescent="0.25">
      <c r="B39" s="7"/>
      <c r="C39" s="7"/>
      <c r="D39" s="7"/>
      <c r="E39" s="7"/>
      <c r="F39" s="7"/>
    </row>
    <row r="40" spans="2:6" x14ac:dyDescent="0.25">
      <c r="B40" s="13"/>
      <c r="C40" s="13"/>
      <c r="D40" s="13"/>
      <c r="E40" s="13"/>
      <c r="F40" s="13"/>
    </row>
    <row r="41" spans="2:6" x14ac:dyDescent="0.25">
      <c r="B41" s="13"/>
      <c r="C41" s="13"/>
      <c r="D41" s="13"/>
      <c r="E41" s="13"/>
      <c r="F41" s="13"/>
    </row>
    <row r="42" spans="2:6" x14ac:dyDescent="0.25">
      <c r="B42" s="39" t="s">
        <v>23</v>
      </c>
      <c r="C42" s="38"/>
      <c r="D42" s="38"/>
      <c r="E42" s="39" t="s">
        <v>24</v>
      </c>
      <c r="F42" s="38"/>
    </row>
    <row r="44" spans="2:6" ht="33.6" customHeight="1" x14ac:dyDescent="0.25">
      <c r="B44" s="37" t="s">
        <v>140</v>
      </c>
      <c r="C44" s="37"/>
      <c r="D44" s="37"/>
      <c r="E44" s="37"/>
      <c r="F44" s="37"/>
    </row>
    <row r="45" spans="2:6" ht="27.6" customHeight="1" x14ac:dyDescent="0.25">
      <c r="B45" s="37" t="s">
        <v>1</v>
      </c>
      <c r="C45" s="37"/>
      <c r="D45" s="37"/>
      <c r="E45" s="37"/>
      <c r="F45" s="37"/>
    </row>
    <row r="46" spans="2:6" x14ac:dyDescent="0.25">
      <c r="B46" s="14" t="s">
        <v>0</v>
      </c>
      <c r="C46" s="14"/>
      <c r="D46" s="14"/>
      <c r="E46" s="14"/>
      <c r="F46" s="14"/>
    </row>
    <row r="47" spans="2:6" x14ac:dyDescent="0.25">
      <c r="B47" s="12"/>
      <c r="C47" s="38" t="s">
        <v>25</v>
      </c>
      <c r="D47" s="38"/>
      <c r="E47" s="12">
        <v>3922.5</v>
      </c>
      <c r="F47" s="12" t="s">
        <v>26</v>
      </c>
    </row>
    <row r="49" spans="2:6" ht="60" x14ac:dyDescent="0.25">
      <c r="B49" s="1" t="s">
        <v>2</v>
      </c>
      <c r="C49" s="1" t="s">
        <v>4</v>
      </c>
      <c r="D49" s="1" t="s">
        <v>3</v>
      </c>
      <c r="E49" s="1" t="s">
        <v>447</v>
      </c>
      <c r="F49" s="1" t="s">
        <v>5</v>
      </c>
    </row>
    <row r="50" spans="2:6" x14ac:dyDescent="0.25">
      <c r="B50" s="1"/>
      <c r="C50" s="1"/>
      <c r="D50" s="1"/>
      <c r="E50" s="1"/>
      <c r="F50" s="1"/>
    </row>
    <row r="51" spans="2:6" x14ac:dyDescent="0.25">
      <c r="B51" s="3" t="s">
        <v>6</v>
      </c>
      <c r="C51" s="1"/>
      <c r="D51" s="1"/>
      <c r="E51" s="1"/>
      <c r="F51" s="1"/>
    </row>
    <row r="52" spans="2:6" x14ac:dyDescent="0.25">
      <c r="B52" s="5" t="s">
        <v>7</v>
      </c>
      <c r="C52" s="1"/>
      <c r="D52" s="1"/>
      <c r="E52" s="1"/>
      <c r="F52" s="5">
        <v>2.0099999999999998</v>
      </c>
    </row>
    <row r="53" spans="2:6" x14ac:dyDescent="0.25">
      <c r="B53" s="5" t="s">
        <v>8</v>
      </c>
      <c r="C53" s="1"/>
      <c r="D53" s="1"/>
      <c r="E53" s="1"/>
      <c r="F53" s="5">
        <v>5.34</v>
      </c>
    </row>
    <row r="54" spans="2:6" x14ac:dyDescent="0.25">
      <c r="B54" s="15" t="s">
        <v>30</v>
      </c>
      <c r="C54" s="1"/>
      <c r="D54" s="1"/>
      <c r="E54" s="1"/>
      <c r="F54" s="5">
        <v>0.06</v>
      </c>
    </row>
    <row r="55" spans="2:6" ht="24.75" x14ac:dyDescent="0.25">
      <c r="B55" s="5" t="s">
        <v>11</v>
      </c>
      <c r="C55" s="1"/>
      <c r="D55" s="1"/>
      <c r="E55" s="1"/>
      <c r="F55" s="5">
        <v>0.55000000000000004</v>
      </c>
    </row>
    <row r="56" spans="2:6" ht="24.75" x14ac:dyDescent="0.25">
      <c r="B56" s="5" t="s">
        <v>12</v>
      </c>
      <c r="C56" s="1"/>
      <c r="D56" s="1"/>
      <c r="E56" s="1"/>
      <c r="F56" s="5">
        <v>0.53</v>
      </c>
    </row>
    <row r="57" spans="2:6" ht="24.75" x14ac:dyDescent="0.25">
      <c r="B57" s="5" t="s">
        <v>13</v>
      </c>
      <c r="C57" s="1"/>
      <c r="D57" s="1"/>
      <c r="E57" s="1"/>
      <c r="F57" s="5">
        <v>0.19</v>
      </c>
    </row>
    <row r="58" spans="2:6" ht="24.75" x14ac:dyDescent="0.25">
      <c r="B58" s="5" t="s">
        <v>14</v>
      </c>
      <c r="C58" s="1"/>
      <c r="D58" s="1"/>
      <c r="E58" s="1"/>
      <c r="F58" s="5">
        <v>1.25</v>
      </c>
    </row>
    <row r="59" spans="2:6" ht="24.75" x14ac:dyDescent="0.25">
      <c r="B59" s="5" t="s">
        <v>9</v>
      </c>
      <c r="C59" s="1"/>
      <c r="D59" s="1"/>
      <c r="E59" s="1"/>
      <c r="F59" s="5">
        <v>0.26</v>
      </c>
    </row>
    <row r="60" spans="2:6" ht="24.75" x14ac:dyDescent="0.25">
      <c r="B60" s="5" t="s">
        <v>15</v>
      </c>
      <c r="C60" s="1"/>
      <c r="D60" s="1"/>
      <c r="E60" s="1"/>
      <c r="F60" s="5">
        <v>0.01</v>
      </c>
    </row>
    <row r="61" spans="2:6" ht="24.75" x14ac:dyDescent="0.25">
      <c r="B61" s="5" t="s">
        <v>16</v>
      </c>
      <c r="C61" s="1"/>
      <c r="D61" s="1"/>
      <c r="E61" s="1"/>
      <c r="F61" s="5">
        <v>0.28999999999999998</v>
      </c>
    </row>
    <row r="62" spans="2:6" x14ac:dyDescent="0.25">
      <c r="B62" s="5" t="s">
        <v>17</v>
      </c>
      <c r="C62" s="1"/>
      <c r="D62" s="1"/>
      <c r="E62" s="1"/>
      <c r="F62" s="5">
        <v>0.32</v>
      </c>
    </row>
    <row r="63" spans="2:6" x14ac:dyDescent="0.25">
      <c r="B63" s="5" t="s">
        <v>143</v>
      </c>
      <c r="C63" s="1"/>
      <c r="D63" s="1"/>
      <c r="E63" s="1"/>
      <c r="F63" s="5">
        <v>5.0999999999999996</v>
      </c>
    </row>
    <row r="64" spans="2:6" x14ac:dyDescent="0.25">
      <c r="B64" s="5" t="s">
        <v>144</v>
      </c>
      <c r="C64" s="1"/>
      <c r="D64" s="1"/>
      <c r="E64" s="1"/>
      <c r="F64" s="5">
        <v>2.56</v>
      </c>
    </row>
    <row r="65" spans="2:6" x14ac:dyDescent="0.25">
      <c r="B65" s="5" t="s">
        <v>18</v>
      </c>
      <c r="C65" s="1"/>
      <c r="D65" s="1"/>
      <c r="E65" s="1"/>
      <c r="F65" s="5">
        <v>1.97</v>
      </c>
    </row>
    <row r="66" spans="2:6" x14ac:dyDescent="0.25">
      <c r="B66" s="5" t="s">
        <v>19</v>
      </c>
      <c r="C66" s="1"/>
      <c r="D66" s="1"/>
      <c r="E66" s="1"/>
      <c r="F66" s="5">
        <v>3.95</v>
      </c>
    </row>
    <row r="67" spans="2:6" x14ac:dyDescent="0.25">
      <c r="B67" s="10" t="s">
        <v>20</v>
      </c>
      <c r="C67" s="1"/>
      <c r="D67" s="1"/>
      <c r="E67" s="1"/>
      <c r="F67" s="4">
        <f>SUM(F52:F66)</f>
        <v>24.389999999999993</v>
      </c>
    </row>
    <row r="68" spans="2:6" x14ac:dyDescent="0.25">
      <c r="B68" s="3" t="s">
        <v>21</v>
      </c>
      <c r="C68" s="1"/>
      <c r="D68" s="1"/>
      <c r="E68" s="1"/>
      <c r="F68" s="1"/>
    </row>
    <row r="69" spans="2:6" x14ac:dyDescent="0.25">
      <c r="B69" s="1" t="s">
        <v>373</v>
      </c>
      <c r="C69" s="1" t="s">
        <v>265</v>
      </c>
      <c r="D69" s="1">
        <v>0.5</v>
      </c>
      <c r="E69" s="1">
        <v>10</v>
      </c>
      <c r="F69" s="24">
        <f>E69/3922.5*1000/12</f>
        <v>0.21244954323348206</v>
      </c>
    </row>
    <row r="70" spans="2:6" x14ac:dyDescent="0.25">
      <c r="B70" s="1"/>
      <c r="C70" s="1"/>
      <c r="D70" s="1"/>
      <c r="E70" s="1"/>
      <c r="F70" s="24"/>
    </row>
    <row r="71" spans="2:6" x14ac:dyDescent="0.25">
      <c r="B71" s="1" t="s">
        <v>335</v>
      </c>
      <c r="C71" s="1" t="s">
        <v>26</v>
      </c>
      <c r="D71" s="1">
        <v>12</v>
      </c>
      <c r="E71" s="1">
        <v>7.2</v>
      </c>
      <c r="F71" s="24">
        <f t="shared" ref="F70:F81" si="1">E71/3922.5*1000/12</f>
        <v>0.15296367112810708</v>
      </c>
    </row>
    <row r="72" spans="2:6" x14ac:dyDescent="0.25">
      <c r="B72" s="1" t="s">
        <v>319</v>
      </c>
      <c r="C72" s="1" t="s">
        <v>261</v>
      </c>
      <c r="D72" s="1">
        <v>50</v>
      </c>
      <c r="E72" s="1">
        <v>65</v>
      </c>
      <c r="F72" s="24">
        <f t="shared" si="1"/>
        <v>1.3809220310176331</v>
      </c>
    </row>
    <row r="73" spans="2:6" x14ac:dyDescent="0.25">
      <c r="B73" s="1" t="s">
        <v>339</v>
      </c>
      <c r="C73" s="1" t="s">
        <v>26</v>
      </c>
      <c r="D73" s="1">
        <v>17</v>
      </c>
      <c r="E73" s="1">
        <v>136</v>
      </c>
      <c r="F73" s="24">
        <f t="shared" si="1"/>
        <v>2.8893137879753561</v>
      </c>
    </row>
    <row r="74" spans="2:6" x14ac:dyDescent="0.25">
      <c r="B74" s="1" t="s">
        <v>366</v>
      </c>
      <c r="C74" s="1" t="s">
        <v>368</v>
      </c>
      <c r="D74" s="1">
        <v>0.5</v>
      </c>
      <c r="E74" s="1">
        <v>25</v>
      </c>
      <c r="F74" s="24">
        <f t="shared" si="1"/>
        <v>0.5311238580837051</v>
      </c>
    </row>
    <row r="75" spans="2:6" x14ac:dyDescent="0.25">
      <c r="B75" s="1"/>
      <c r="C75" s="1"/>
      <c r="D75" s="1"/>
      <c r="E75" s="1"/>
      <c r="F75" s="24"/>
    </row>
    <row r="76" spans="2:6" x14ac:dyDescent="0.25">
      <c r="B76" s="1" t="s">
        <v>343</v>
      </c>
      <c r="C76" s="1" t="s">
        <v>256</v>
      </c>
      <c r="D76" s="1">
        <v>1</v>
      </c>
      <c r="E76" s="1">
        <v>300</v>
      </c>
      <c r="F76" s="24">
        <f t="shared" si="1"/>
        <v>6.3734862970044617</v>
      </c>
    </row>
    <row r="77" spans="2:6" x14ac:dyDescent="0.25">
      <c r="B77" s="1" t="s">
        <v>382</v>
      </c>
      <c r="C77" s="1" t="s">
        <v>261</v>
      </c>
      <c r="D77" s="1">
        <v>100</v>
      </c>
      <c r="E77" s="1">
        <v>190</v>
      </c>
      <c r="F77" s="24">
        <f t="shared" si="1"/>
        <v>4.0365413214361592</v>
      </c>
    </row>
    <row r="78" spans="2:6" x14ac:dyDescent="0.25">
      <c r="B78" s="1" t="s">
        <v>322</v>
      </c>
      <c r="C78" s="1" t="s">
        <v>261</v>
      </c>
      <c r="D78" s="1">
        <v>200</v>
      </c>
      <c r="E78" s="1">
        <v>240</v>
      </c>
      <c r="F78" s="24">
        <f t="shared" si="1"/>
        <v>5.0987890376035692</v>
      </c>
    </row>
    <row r="79" spans="2:6" x14ac:dyDescent="0.25">
      <c r="B79" s="1" t="s">
        <v>323</v>
      </c>
      <c r="C79" s="1" t="s">
        <v>261</v>
      </c>
      <c r="D79" s="1">
        <v>1000</v>
      </c>
      <c r="E79" s="1">
        <v>1000</v>
      </c>
      <c r="F79" s="24">
        <f>E79/3922.5*1000/12</f>
        <v>21.244954323348207</v>
      </c>
    </row>
    <row r="80" spans="2:6" x14ac:dyDescent="0.25">
      <c r="B80" s="1"/>
      <c r="C80" s="1"/>
      <c r="D80" s="1"/>
      <c r="E80" s="1"/>
      <c r="F80" s="24">
        <f t="shared" si="1"/>
        <v>0</v>
      </c>
    </row>
    <row r="81" spans="2:6" x14ac:dyDescent="0.25">
      <c r="B81" s="1"/>
      <c r="C81" s="1"/>
      <c r="D81" s="1"/>
      <c r="E81" s="1"/>
      <c r="F81" s="24">
        <f t="shared" si="1"/>
        <v>0</v>
      </c>
    </row>
    <row r="82" spans="2:6" x14ac:dyDescent="0.25">
      <c r="B82" s="10" t="s">
        <v>20</v>
      </c>
      <c r="C82" s="1"/>
      <c r="D82" s="1"/>
      <c r="E82" s="4">
        <f>SUM(E69:E81)</f>
        <v>1973.2</v>
      </c>
      <c r="F82" s="22">
        <f>SUM(F69:F81)</f>
        <v>41.920543870830684</v>
      </c>
    </row>
    <row r="83" spans="2:6" x14ac:dyDescent="0.25">
      <c r="B83" s="4" t="s">
        <v>22</v>
      </c>
      <c r="C83" s="6"/>
      <c r="D83" s="6"/>
      <c r="E83" s="6"/>
      <c r="F83" s="23">
        <f>F67+F82</f>
        <v>66.310543870830685</v>
      </c>
    </row>
    <row r="84" spans="2:6" x14ac:dyDescent="0.25">
      <c r="B84" s="7"/>
      <c r="C84" s="7"/>
      <c r="D84" s="7"/>
      <c r="E84" s="7"/>
      <c r="F84" s="7"/>
    </row>
    <row r="85" spans="2:6" x14ac:dyDescent="0.25">
      <c r="B85" s="13"/>
      <c r="C85" s="13"/>
      <c r="D85" s="13"/>
      <c r="E85" s="13"/>
      <c r="F85" s="13"/>
    </row>
    <row r="86" spans="2:6" x14ac:dyDescent="0.25">
      <c r="B86" s="13"/>
      <c r="C86" s="13"/>
      <c r="D86" s="13"/>
      <c r="E86" s="13"/>
      <c r="F86" s="13"/>
    </row>
    <row r="87" spans="2:6" x14ac:dyDescent="0.25">
      <c r="B87" s="39" t="s">
        <v>23</v>
      </c>
      <c r="C87" s="38"/>
      <c r="D87" s="38"/>
      <c r="E87" s="39" t="s">
        <v>24</v>
      </c>
      <c r="F87" s="38"/>
    </row>
    <row r="89" spans="2:6" ht="29.45" customHeight="1" x14ac:dyDescent="0.25">
      <c r="B89" s="37" t="s">
        <v>141</v>
      </c>
      <c r="C89" s="37"/>
      <c r="D89" s="37"/>
      <c r="E89" s="37"/>
      <c r="F89" s="37"/>
    </row>
    <row r="90" spans="2:6" ht="28.15" customHeight="1" x14ac:dyDescent="0.25">
      <c r="B90" s="37" t="s">
        <v>1</v>
      </c>
      <c r="C90" s="37"/>
      <c r="D90" s="37"/>
      <c r="E90" s="37"/>
      <c r="F90" s="37"/>
    </row>
    <row r="91" spans="2:6" x14ac:dyDescent="0.25">
      <c r="B91" s="14" t="s">
        <v>0</v>
      </c>
      <c r="C91" s="14"/>
      <c r="D91" s="14"/>
      <c r="E91" s="14"/>
      <c r="F91" s="14"/>
    </row>
    <row r="92" spans="2:6" x14ac:dyDescent="0.25">
      <c r="B92" s="12"/>
      <c r="C92" s="38" t="s">
        <v>25</v>
      </c>
      <c r="D92" s="38"/>
      <c r="E92" s="12">
        <v>2825.7</v>
      </c>
      <c r="F92" s="12" t="s">
        <v>26</v>
      </c>
    </row>
    <row r="94" spans="2:6" ht="60" x14ac:dyDescent="0.25">
      <c r="B94" s="1" t="s">
        <v>2</v>
      </c>
      <c r="C94" s="1" t="s">
        <v>4</v>
      </c>
      <c r="D94" s="1" t="s">
        <v>3</v>
      </c>
      <c r="E94" s="1" t="s">
        <v>447</v>
      </c>
      <c r="F94" s="1" t="s">
        <v>5</v>
      </c>
    </row>
    <row r="95" spans="2:6" x14ac:dyDescent="0.25">
      <c r="B95" s="1"/>
      <c r="C95" s="1"/>
      <c r="D95" s="1"/>
      <c r="E95" s="1"/>
      <c r="F95" s="1"/>
    </row>
    <row r="96" spans="2:6" x14ac:dyDescent="0.25">
      <c r="B96" s="3" t="s">
        <v>6</v>
      </c>
      <c r="C96" s="1"/>
      <c r="D96" s="1"/>
      <c r="E96" s="1"/>
      <c r="F96" s="1"/>
    </row>
    <row r="97" spans="2:6" x14ac:dyDescent="0.25">
      <c r="B97" s="5" t="s">
        <v>7</v>
      </c>
      <c r="C97" s="1"/>
      <c r="D97" s="1"/>
      <c r="E97" s="1"/>
      <c r="F97" s="5">
        <v>2.0099999999999998</v>
      </c>
    </row>
    <row r="98" spans="2:6" x14ac:dyDescent="0.25">
      <c r="B98" s="5" t="s">
        <v>8</v>
      </c>
      <c r="C98" s="1"/>
      <c r="D98" s="1"/>
      <c r="E98" s="1"/>
      <c r="F98" s="5">
        <v>5.34</v>
      </c>
    </row>
    <row r="99" spans="2:6" x14ac:dyDescent="0.25">
      <c r="B99" s="15" t="s">
        <v>30</v>
      </c>
      <c r="C99" s="1"/>
      <c r="D99" s="1"/>
      <c r="E99" s="1"/>
      <c r="F99" s="5">
        <v>0.06</v>
      </c>
    </row>
    <row r="100" spans="2:6" ht="24.75" x14ac:dyDescent="0.25">
      <c r="B100" s="5" t="s">
        <v>11</v>
      </c>
      <c r="C100" s="1"/>
      <c r="D100" s="1"/>
      <c r="E100" s="1"/>
      <c r="F100" s="5">
        <v>0.55000000000000004</v>
      </c>
    </row>
    <row r="101" spans="2:6" ht="24.75" x14ac:dyDescent="0.25">
      <c r="B101" s="5" t="s">
        <v>12</v>
      </c>
      <c r="C101" s="1"/>
      <c r="D101" s="1"/>
      <c r="E101" s="1"/>
      <c r="F101" s="5">
        <v>0.53</v>
      </c>
    </row>
    <row r="102" spans="2:6" ht="24.75" x14ac:dyDescent="0.25">
      <c r="B102" s="5" t="s">
        <v>13</v>
      </c>
      <c r="C102" s="1"/>
      <c r="D102" s="1"/>
      <c r="E102" s="1"/>
      <c r="F102" s="5">
        <v>0.19</v>
      </c>
    </row>
    <row r="103" spans="2:6" ht="24.75" x14ac:dyDescent="0.25">
      <c r="B103" s="5" t="s">
        <v>14</v>
      </c>
      <c r="C103" s="1"/>
      <c r="D103" s="1"/>
      <c r="E103" s="1"/>
      <c r="F103" s="5">
        <v>1.25</v>
      </c>
    </row>
    <row r="104" spans="2:6" ht="24.75" x14ac:dyDescent="0.25">
      <c r="B104" s="5" t="s">
        <v>9</v>
      </c>
      <c r="C104" s="1"/>
      <c r="D104" s="1"/>
      <c r="E104" s="1"/>
      <c r="F104" s="5">
        <v>0.26</v>
      </c>
    </row>
    <row r="105" spans="2:6" ht="24.75" x14ac:dyDescent="0.25">
      <c r="B105" s="5" t="s">
        <v>15</v>
      </c>
      <c r="C105" s="1"/>
      <c r="D105" s="1"/>
      <c r="E105" s="1"/>
      <c r="F105" s="5">
        <v>0.01</v>
      </c>
    </row>
    <row r="106" spans="2:6" ht="24.75" x14ac:dyDescent="0.25">
      <c r="B106" s="5" t="s">
        <v>16</v>
      </c>
      <c r="C106" s="1"/>
      <c r="D106" s="1"/>
      <c r="E106" s="1"/>
      <c r="F106" s="5">
        <v>0.28999999999999998</v>
      </c>
    </row>
    <row r="107" spans="2:6" x14ac:dyDescent="0.25">
      <c r="B107" s="5" t="s">
        <v>17</v>
      </c>
      <c r="C107" s="1"/>
      <c r="D107" s="1"/>
      <c r="E107" s="1"/>
      <c r="F107" s="5">
        <v>0.32</v>
      </c>
    </row>
    <row r="108" spans="2:6" x14ac:dyDescent="0.25">
      <c r="B108" s="5" t="s">
        <v>18</v>
      </c>
      <c r="C108" s="1"/>
      <c r="D108" s="1"/>
      <c r="E108" s="1"/>
      <c r="F108" s="5">
        <v>1.97</v>
      </c>
    </row>
    <row r="109" spans="2:6" x14ac:dyDescent="0.25">
      <c r="B109" s="5" t="s">
        <v>19</v>
      </c>
      <c r="C109" s="1"/>
      <c r="D109" s="1"/>
      <c r="E109" s="1"/>
      <c r="F109" s="5">
        <v>3.95</v>
      </c>
    </row>
    <row r="110" spans="2:6" x14ac:dyDescent="0.25">
      <c r="B110" s="10" t="s">
        <v>20</v>
      </c>
      <c r="C110" s="1"/>
      <c r="D110" s="1"/>
      <c r="E110" s="1"/>
      <c r="F110" s="4">
        <f>SUM(F97:F109)</f>
        <v>16.729999999999997</v>
      </c>
    </row>
    <row r="111" spans="2:6" x14ac:dyDescent="0.25">
      <c r="B111" s="3" t="s">
        <v>21</v>
      </c>
      <c r="C111" s="1"/>
      <c r="D111" s="1"/>
      <c r="E111" s="1"/>
      <c r="F111" s="1"/>
    </row>
    <row r="112" spans="2:6" x14ac:dyDescent="0.25">
      <c r="B112" s="1" t="s">
        <v>317</v>
      </c>
      <c r="C112" s="1" t="s">
        <v>256</v>
      </c>
      <c r="D112" s="1">
        <v>1</v>
      </c>
      <c r="E112" s="1">
        <v>60</v>
      </c>
      <c r="F112" s="24">
        <f>E112/2825.7*1000/12</f>
        <v>1.7694730509254344</v>
      </c>
    </row>
    <row r="113" spans="2:6" x14ac:dyDescent="0.25">
      <c r="B113" s="1" t="s">
        <v>381</v>
      </c>
      <c r="C113" s="1" t="s">
        <v>265</v>
      </c>
      <c r="D113" s="1">
        <v>4</v>
      </c>
      <c r="E113" s="1">
        <v>14</v>
      </c>
      <c r="F113" s="24">
        <f t="shared" ref="F113:F124" si="2">E113/2825.7*1000/12</f>
        <v>0.41287704521593471</v>
      </c>
    </row>
    <row r="114" spans="2:6" x14ac:dyDescent="0.25">
      <c r="B114" s="1" t="s">
        <v>373</v>
      </c>
      <c r="C114" s="1" t="s">
        <v>265</v>
      </c>
      <c r="D114" s="1">
        <v>0.5</v>
      </c>
      <c r="E114" s="1">
        <v>10</v>
      </c>
      <c r="F114" s="24">
        <f t="shared" si="2"/>
        <v>0.29491217515423912</v>
      </c>
    </row>
    <row r="115" spans="2:6" x14ac:dyDescent="0.25">
      <c r="B115" s="1" t="s">
        <v>319</v>
      </c>
      <c r="C115" s="1" t="s">
        <v>261</v>
      </c>
      <c r="D115" s="1">
        <v>20</v>
      </c>
      <c r="E115" s="1">
        <v>26</v>
      </c>
      <c r="F115" s="24">
        <f t="shared" si="2"/>
        <v>0.76677165540102166</v>
      </c>
    </row>
    <row r="116" spans="2:6" x14ac:dyDescent="0.25">
      <c r="B116" s="1" t="s">
        <v>366</v>
      </c>
      <c r="C116" s="1" t="s">
        <v>368</v>
      </c>
      <c r="D116" s="1">
        <v>0.5</v>
      </c>
      <c r="E116" s="1">
        <v>25</v>
      </c>
      <c r="F116" s="24">
        <f t="shared" si="2"/>
        <v>0.73728043788559772</v>
      </c>
    </row>
    <row r="117" spans="2:6" x14ac:dyDescent="0.25">
      <c r="B117" s="1"/>
      <c r="C117" s="1"/>
      <c r="D117" s="1"/>
      <c r="E117" s="1"/>
      <c r="F117" s="24"/>
    </row>
    <row r="118" spans="2:6" x14ac:dyDescent="0.25">
      <c r="B118" s="1" t="s">
        <v>322</v>
      </c>
      <c r="C118" s="1" t="s">
        <v>261</v>
      </c>
      <c r="D118" s="1">
        <v>300</v>
      </c>
      <c r="E118" s="1">
        <v>360</v>
      </c>
      <c r="F118" s="24">
        <f t="shared" si="2"/>
        <v>10.616838305552607</v>
      </c>
    </row>
    <row r="119" spans="2:6" x14ac:dyDescent="0.25">
      <c r="B119" s="1" t="s">
        <v>323</v>
      </c>
      <c r="C119" s="1" t="s">
        <v>261</v>
      </c>
      <c r="D119" s="1">
        <v>1100</v>
      </c>
      <c r="E119" s="1">
        <v>1100</v>
      </c>
      <c r="F119" s="24">
        <f t="shared" si="2"/>
        <v>32.440339266966298</v>
      </c>
    </row>
    <row r="120" spans="2:6" x14ac:dyDescent="0.25">
      <c r="B120" s="1" t="s">
        <v>383</v>
      </c>
      <c r="C120" s="1" t="s">
        <v>261</v>
      </c>
      <c r="D120" s="1">
        <v>110</v>
      </c>
      <c r="E120" s="1">
        <v>132</v>
      </c>
      <c r="F120" s="24">
        <f t="shared" si="2"/>
        <v>3.8928407120359565</v>
      </c>
    </row>
    <row r="121" spans="2:6" x14ac:dyDescent="0.25">
      <c r="B121" s="1" t="s">
        <v>343</v>
      </c>
      <c r="C121" s="1" t="s">
        <v>256</v>
      </c>
      <c r="D121" s="1">
        <v>4</v>
      </c>
      <c r="E121" s="1">
        <v>600</v>
      </c>
      <c r="F121" s="24">
        <f t="shared" si="2"/>
        <v>17.694730509254345</v>
      </c>
    </row>
    <row r="122" spans="2:6" x14ac:dyDescent="0.25">
      <c r="B122" s="1"/>
      <c r="C122" s="1"/>
      <c r="D122" s="1"/>
      <c r="E122" s="1"/>
      <c r="F122" s="24">
        <f t="shared" si="2"/>
        <v>0</v>
      </c>
    </row>
    <row r="123" spans="2:6" x14ac:dyDescent="0.25">
      <c r="B123" s="1"/>
      <c r="C123" s="1"/>
      <c r="D123" s="1"/>
      <c r="E123" s="1"/>
      <c r="F123" s="24">
        <f t="shared" si="2"/>
        <v>0</v>
      </c>
    </row>
    <row r="124" spans="2:6" x14ac:dyDescent="0.25">
      <c r="B124" s="1"/>
      <c r="C124" s="1"/>
      <c r="D124" s="1"/>
      <c r="E124" s="1"/>
      <c r="F124" s="24">
        <f t="shared" si="2"/>
        <v>0</v>
      </c>
    </row>
    <row r="125" spans="2:6" x14ac:dyDescent="0.25">
      <c r="B125" s="10" t="s">
        <v>20</v>
      </c>
      <c r="C125" s="1"/>
      <c r="D125" s="1"/>
      <c r="E125" s="4">
        <f>SUM(E112:E124)</f>
        <v>2327</v>
      </c>
      <c r="F125" s="22">
        <f>SUM(F112:F124)</f>
        <v>68.626063158391432</v>
      </c>
    </row>
    <row r="126" spans="2:6" x14ac:dyDescent="0.25">
      <c r="B126" s="4" t="s">
        <v>22</v>
      </c>
      <c r="C126" s="6"/>
      <c r="D126" s="6"/>
      <c r="E126" s="6"/>
      <c r="F126" s="23">
        <f>F110+F125</f>
        <v>85.356063158391436</v>
      </c>
    </row>
    <row r="127" spans="2:6" x14ac:dyDescent="0.25">
      <c r="B127" s="7"/>
      <c r="C127" s="7"/>
      <c r="D127" s="7"/>
      <c r="E127" s="7"/>
      <c r="F127" s="7"/>
    </row>
    <row r="128" spans="2:6" x14ac:dyDescent="0.25">
      <c r="B128" s="13"/>
      <c r="C128" s="13"/>
      <c r="D128" s="13"/>
      <c r="E128" s="13"/>
      <c r="F128" s="13"/>
    </row>
    <row r="129" spans="2:6" x14ac:dyDescent="0.25">
      <c r="B129" s="13"/>
      <c r="C129" s="13"/>
      <c r="D129" s="13"/>
      <c r="E129" s="13"/>
      <c r="F129" s="13"/>
    </row>
    <row r="130" spans="2:6" x14ac:dyDescent="0.25">
      <c r="B130" s="39" t="s">
        <v>23</v>
      </c>
      <c r="C130" s="38"/>
      <c r="D130" s="38"/>
      <c r="E130" s="39" t="s">
        <v>24</v>
      </c>
      <c r="F130" s="38"/>
    </row>
    <row r="132" spans="2:6" ht="33" customHeight="1" x14ac:dyDescent="0.25">
      <c r="B132" s="37" t="s">
        <v>142</v>
      </c>
      <c r="C132" s="37"/>
      <c r="D132" s="37"/>
      <c r="E132" s="37"/>
      <c r="F132" s="37"/>
    </row>
    <row r="133" spans="2:6" ht="33.6" customHeight="1" x14ac:dyDescent="0.25">
      <c r="B133" s="37" t="s">
        <v>1</v>
      </c>
      <c r="C133" s="37"/>
      <c r="D133" s="37"/>
      <c r="E133" s="37"/>
      <c r="F133" s="37"/>
    </row>
    <row r="134" spans="2:6" x14ac:dyDescent="0.25">
      <c r="B134" s="14" t="s">
        <v>0</v>
      </c>
      <c r="C134" s="14"/>
      <c r="D134" s="14"/>
      <c r="E134" s="14"/>
      <c r="F134" s="14"/>
    </row>
    <row r="135" spans="2:6" x14ac:dyDescent="0.25">
      <c r="B135" s="12"/>
      <c r="C135" s="38" t="s">
        <v>25</v>
      </c>
      <c r="D135" s="38"/>
      <c r="E135" s="12">
        <v>3412.7</v>
      </c>
      <c r="F135" s="12" t="s">
        <v>26</v>
      </c>
    </row>
    <row r="137" spans="2:6" ht="60" x14ac:dyDescent="0.25">
      <c r="B137" s="1" t="s">
        <v>2</v>
      </c>
      <c r="C137" s="1" t="s">
        <v>4</v>
      </c>
      <c r="D137" s="1" t="s">
        <v>3</v>
      </c>
      <c r="E137" s="1" t="s">
        <v>447</v>
      </c>
      <c r="F137" s="1" t="s">
        <v>5</v>
      </c>
    </row>
    <row r="138" spans="2:6" x14ac:dyDescent="0.25">
      <c r="B138" s="1"/>
      <c r="C138" s="1"/>
      <c r="D138" s="1"/>
      <c r="E138" s="1"/>
      <c r="F138" s="1"/>
    </row>
    <row r="139" spans="2:6" x14ac:dyDescent="0.25">
      <c r="B139" s="3" t="s">
        <v>6</v>
      </c>
      <c r="C139" s="1"/>
      <c r="D139" s="1"/>
      <c r="E139" s="1"/>
      <c r="F139" s="1"/>
    </row>
    <row r="140" spans="2:6" x14ac:dyDescent="0.25">
      <c r="B140" s="5" t="s">
        <v>7</v>
      </c>
      <c r="C140" s="1"/>
      <c r="D140" s="1"/>
      <c r="E140" s="1"/>
      <c r="F140" s="5">
        <v>2.0099999999999998</v>
      </c>
    </row>
    <row r="141" spans="2:6" x14ac:dyDescent="0.25">
      <c r="B141" s="5" t="s">
        <v>8</v>
      </c>
      <c r="C141" s="1"/>
      <c r="D141" s="1"/>
      <c r="E141" s="1"/>
      <c r="F141" s="5">
        <v>5.34</v>
      </c>
    </row>
    <row r="142" spans="2:6" x14ac:dyDescent="0.25">
      <c r="B142" s="15" t="s">
        <v>30</v>
      </c>
      <c r="C142" s="1"/>
      <c r="D142" s="1"/>
      <c r="E142" s="1"/>
      <c r="F142" s="5">
        <v>0.06</v>
      </c>
    </row>
    <row r="143" spans="2:6" ht="24.75" x14ac:dyDescent="0.25">
      <c r="B143" s="5" t="s">
        <v>11</v>
      </c>
      <c r="C143" s="1"/>
      <c r="D143" s="1"/>
      <c r="E143" s="1"/>
      <c r="F143" s="5">
        <v>0.55000000000000004</v>
      </c>
    </row>
    <row r="144" spans="2:6" ht="24.75" x14ac:dyDescent="0.25">
      <c r="B144" s="5" t="s">
        <v>12</v>
      </c>
      <c r="C144" s="1"/>
      <c r="D144" s="1"/>
      <c r="E144" s="1"/>
      <c r="F144" s="5">
        <v>0.53</v>
      </c>
    </row>
    <row r="145" spans="2:6" ht="24.75" x14ac:dyDescent="0.25">
      <c r="B145" s="5" t="s">
        <v>13</v>
      </c>
      <c r="C145" s="1"/>
      <c r="D145" s="1"/>
      <c r="E145" s="1"/>
      <c r="F145" s="5">
        <v>0.19</v>
      </c>
    </row>
    <row r="146" spans="2:6" ht="24.75" x14ac:dyDescent="0.25">
      <c r="B146" s="5" t="s">
        <v>14</v>
      </c>
      <c r="C146" s="1"/>
      <c r="D146" s="1"/>
      <c r="E146" s="1"/>
      <c r="F146" s="5">
        <v>1.25</v>
      </c>
    </row>
    <row r="147" spans="2:6" ht="24.75" x14ac:dyDescent="0.25">
      <c r="B147" s="5" t="s">
        <v>9</v>
      </c>
      <c r="C147" s="1"/>
      <c r="D147" s="1"/>
      <c r="E147" s="1"/>
      <c r="F147" s="5">
        <v>0.26</v>
      </c>
    </row>
    <row r="148" spans="2:6" ht="24.75" x14ac:dyDescent="0.25">
      <c r="B148" s="5" t="s">
        <v>15</v>
      </c>
      <c r="C148" s="1"/>
      <c r="D148" s="1"/>
      <c r="E148" s="1"/>
      <c r="F148" s="5">
        <v>0.01</v>
      </c>
    </row>
    <row r="149" spans="2:6" ht="24.75" x14ac:dyDescent="0.25">
      <c r="B149" s="5" t="s">
        <v>16</v>
      </c>
      <c r="C149" s="1"/>
      <c r="D149" s="1"/>
      <c r="E149" s="1"/>
      <c r="F149" s="5">
        <v>0.28999999999999998</v>
      </c>
    </row>
    <row r="150" spans="2:6" x14ac:dyDescent="0.25">
      <c r="B150" s="5" t="s">
        <v>17</v>
      </c>
      <c r="C150" s="1"/>
      <c r="D150" s="1"/>
      <c r="E150" s="1"/>
      <c r="F150" s="5">
        <v>0.32</v>
      </c>
    </row>
    <row r="151" spans="2:6" x14ac:dyDescent="0.25">
      <c r="B151" s="5" t="s">
        <v>18</v>
      </c>
      <c r="C151" s="1"/>
      <c r="D151" s="1"/>
      <c r="E151" s="1"/>
      <c r="F151" s="5">
        <v>1.97</v>
      </c>
    </row>
    <row r="152" spans="2:6" x14ac:dyDescent="0.25">
      <c r="B152" s="5" t="s">
        <v>19</v>
      </c>
      <c r="C152" s="1"/>
      <c r="D152" s="1"/>
      <c r="E152" s="1"/>
      <c r="F152" s="5">
        <v>3.95</v>
      </c>
    </row>
    <row r="153" spans="2:6" x14ac:dyDescent="0.25">
      <c r="B153" s="10" t="s">
        <v>20</v>
      </c>
      <c r="C153" s="1"/>
      <c r="D153" s="1"/>
      <c r="E153" s="1"/>
      <c r="F153" s="4">
        <f>SUM(F140:F152)</f>
        <v>16.729999999999997</v>
      </c>
    </row>
    <row r="154" spans="2:6" x14ac:dyDescent="0.25">
      <c r="B154" s="3" t="s">
        <v>21</v>
      </c>
      <c r="C154" s="1"/>
      <c r="D154" s="1"/>
      <c r="E154" s="1"/>
      <c r="F154" s="1"/>
    </row>
    <row r="155" spans="2:6" x14ac:dyDescent="0.25">
      <c r="B155" s="1"/>
      <c r="C155" s="1"/>
      <c r="D155" s="1"/>
      <c r="E155" s="1"/>
      <c r="F155" s="24"/>
    </row>
    <row r="156" spans="2:6" x14ac:dyDescent="0.25">
      <c r="B156" s="1" t="s">
        <v>319</v>
      </c>
      <c r="C156" s="1" t="s">
        <v>261</v>
      </c>
      <c r="D156" s="1">
        <v>60</v>
      </c>
      <c r="E156" s="1">
        <v>78</v>
      </c>
      <c r="F156" s="24">
        <f t="shared" ref="F156:F167" si="3">E156/3412.7*1000/12</f>
        <v>1.9046502769068481</v>
      </c>
    </row>
    <row r="157" spans="2:6" x14ac:dyDescent="0.25">
      <c r="B157" s="1" t="s">
        <v>320</v>
      </c>
      <c r="C157" s="1" t="s">
        <v>261</v>
      </c>
      <c r="D157" s="1">
        <v>60</v>
      </c>
      <c r="E157" s="1">
        <v>78</v>
      </c>
      <c r="F157" s="24">
        <f t="shared" si="3"/>
        <v>1.9046502769068481</v>
      </c>
    </row>
    <row r="158" spans="2:6" x14ac:dyDescent="0.25">
      <c r="B158" s="1" t="s">
        <v>325</v>
      </c>
      <c r="C158" s="1" t="s">
        <v>261</v>
      </c>
      <c r="D158" s="1">
        <v>20</v>
      </c>
      <c r="E158" s="1">
        <v>38</v>
      </c>
      <c r="F158" s="24">
        <f t="shared" si="3"/>
        <v>0.92790654515974647</v>
      </c>
    </row>
    <row r="159" spans="2:6" x14ac:dyDescent="0.25">
      <c r="B159" s="1" t="s">
        <v>330</v>
      </c>
      <c r="C159" s="1" t="s">
        <v>261</v>
      </c>
      <c r="D159" s="1">
        <v>40</v>
      </c>
      <c r="E159" s="1">
        <v>52</v>
      </c>
      <c r="F159" s="24">
        <f t="shared" si="3"/>
        <v>1.2697668512712321</v>
      </c>
    </row>
    <row r="160" spans="2:6" x14ac:dyDescent="0.25">
      <c r="B160" s="1" t="s">
        <v>457</v>
      </c>
      <c r="C160" s="1" t="s">
        <v>26</v>
      </c>
      <c r="D160" s="1">
        <v>40</v>
      </c>
      <c r="E160" s="1">
        <v>80</v>
      </c>
      <c r="F160" s="24">
        <f t="shared" si="3"/>
        <v>1.953487463494203</v>
      </c>
    </row>
    <row r="161" spans="2:6" x14ac:dyDescent="0.25">
      <c r="B161" s="1"/>
      <c r="C161" s="1"/>
      <c r="D161" s="1"/>
      <c r="E161" s="1"/>
      <c r="F161" s="24">
        <f t="shared" si="3"/>
        <v>0</v>
      </c>
    </row>
    <row r="162" spans="2:6" x14ac:dyDescent="0.25">
      <c r="B162" s="1"/>
      <c r="C162" s="1"/>
      <c r="D162" s="1"/>
      <c r="E162" s="1"/>
      <c r="F162" s="24">
        <f t="shared" si="3"/>
        <v>0</v>
      </c>
    </row>
    <row r="163" spans="2:6" x14ac:dyDescent="0.25">
      <c r="B163" s="1"/>
      <c r="C163" s="1"/>
      <c r="D163" s="1"/>
      <c r="E163" s="1"/>
      <c r="F163" s="24">
        <f t="shared" si="3"/>
        <v>0</v>
      </c>
    </row>
    <row r="164" spans="2:6" x14ac:dyDescent="0.25">
      <c r="B164" s="1"/>
      <c r="C164" s="1"/>
      <c r="D164" s="1"/>
      <c r="E164" s="1"/>
      <c r="F164" s="24">
        <f t="shared" si="3"/>
        <v>0</v>
      </c>
    </row>
    <row r="165" spans="2:6" x14ac:dyDescent="0.25">
      <c r="B165" s="1"/>
      <c r="C165" s="1"/>
      <c r="D165" s="1"/>
      <c r="E165" s="1"/>
      <c r="F165" s="24">
        <f t="shared" si="3"/>
        <v>0</v>
      </c>
    </row>
    <row r="166" spans="2:6" x14ac:dyDescent="0.25">
      <c r="B166" s="1"/>
      <c r="C166" s="1"/>
      <c r="D166" s="1"/>
      <c r="E166" s="1"/>
      <c r="F166" s="24">
        <f t="shared" si="3"/>
        <v>0</v>
      </c>
    </row>
    <row r="167" spans="2:6" x14ac:dyDescent="0.25">
      <c r="B167" s="1"/>
      <c r="C167" s="1"/>
      <c r="D167" s="1"/>
      <c r="E167" s="1"/>
      <c r="F167" s="24">
        <f t="shared" si="3"/>
        <v>0</v>
      </c>
    </row>
    <row r="168" spans="2:6" x14ac:dyDescent="0.25">
      <c r="B168" s="10" t="s">
        <v>20</v>
      </c>
      <c r="C168" s="1"/>
      <c r="D168" s="1"/>
      <c r="E168" s="4">
        <f>SUM(E155:E167)</f>
        <v>326</v>
      </c>
      <c r="F168" s="22">
        <f>SUM(F155:F167)</f>
        <v>7.9604614137388774</v>
      </c>
    </row>
    <row r="169" spans="2:6" x14ac:dyDescent="0.25">
      <c r="B169" s="4" t="s">
        <v>22</v>
      </c>
      <c r="C169" s="6"/>
      <c r="D169" s="6"/>
      <c r="E169" s="6"/>
      <c r="F169" s="23">
        <f>F153+F168</f>
        <v>24.690461413738873</v>
      </c>
    </row>
    <row r="170" spans="2:6" x14ac:dyDescent="0.25">
      <c r="B170" s="7"/>
      <c r="C170" s="7"/>
      <c r="D170" s="7"/>
      <c r="E170" s="7"/>
      <c r="F170" s="7"/>
    </row>
    <row r="171" spans="2:6" x14ac:dyDescent="0.25">
      <c r="B171" s="13"/>
      <c r="C171" s="13"/>
      <c r="D171" s="13"/>
      <c r="E171" s="13"/>
      <c r="F171" s="13"/>
    </row>
    <row r="172" spans="2:6" x14ac:dyDescent="0.25">
      <c r="B172" s="13"/>
      <c r="C172" s="13"/>
      <c r="D172" s="13"/>
      <c r="E172" s="13"/>
      <c r="F172" s="13"/>
    </row>
    <row r="173" spans="2:6" x14ac:dyDescent="0.25">
      <c r="B173" s="39" t="s">
        <v>23</v>
      </c>
      <c r="C173" s="38"/>
      <c r="D173" s="38"/>
      <c r="E173" s="39" t="s">
        <v>24</v>
      </c>
      <c r="F173" s="38"/>
    </row>
  </sheetData>
  <mergeCells count="20">
    <mergeCell ref="B1:F1"/>
    <mergeCell ref="B2:F2"/>
    <mergeCell ref="C4:D4"/>
    <mergeCell ref="E42:F42"/>
    <mergeCell ref="B44:F44"/>
    <mergeCell ref="E173:F173"/>
    <mergeCell ref="B130:D130"/>
    <mergeCell ref="B173:D173"/>
    <mergeCell ref="B42:D42"/>
    <mergeCell ref="B87:D87"/>
    <mergeCell ref="C92:D92"/>
    <mergeCell ref="E130:F130"/>
    <mergeCell ref="B132:F132"/>
    <mergeCell ref="B133:F133"/>
    <mergeCell ref="C135:D135"/>
    <mergeCell ref="B45:F45"/>
    <mergeCell ref="C47:D47"/>
    <mergeCell ref="E87:F87"/>
    <mergeCell ref="B89:F89"/>
    <mergeCell ref="B90:F9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96"/>
  <sheetViews>
    <sheetView topLeftCell="A583" workbookViewId="0">
      <selection activeCell="B538" sqref="B538"/>
    </sheetView>
  </sheetViews>
  <sheetFormatPr defaultRowHeight="15" x14ac:dyDescent="0.25"/>
  <cols>
    <col min="2" max="2" width="37.7109375" customWidth="1"/>
    <col min="6" max="6" width="11.42578125" bestFit="1" customWidth="1"/>
  </cols>
  <sheetData>
    <row r="1" spans="2:6" ht="25.15" customHeight="1" x14ac:dyDescent="0.25">
      <c r="B1" s="37" t="s">
        <v>145</v>
      </c>
      <c r="C1" s="37"/>
      <c r="D1" s="37"/>
      <c r="E1" s="37"/>
      <c r="F1" s="37"/>
    </row>
    <row r="2" spans="2:6" ht="29.45" customHeight="1" x14ac:dyDescent="0.25">
      <c r="B2" s="37" t="s">
        <v>1</v>
      </c>
      <c r="C2" s="37"/>
      <c r="D2" s="37"/>
      <c r="E2" s="37"/>
      <c r="F2" s="37"/>
    </row>
    <row r="3" spans="2:6" x14ac:dyDescent="0.25">
      <c r="B3" s="14" t="s">
        <v>0</v>
      </c>
      <c r="C3" s="14"/>
      <c r="D3" s="14"/>
      <c r="E3" s="14"/>
      <c r="F3" s="14"/>
    </row>
    <row r="4" spans="2:6" x14ac:dyDescent="0.25">
      <c r="B4" s="12"/>
      <c r="C4" s="38" t="s">
        <v>25</v>
      </c>
      <c r="D4" s="38"/>
      <c r="E4" s="12">
        <v>3107.3</v>
      </c>
      <c r="F4" s="12" t="s">
        <v>26</v>
      </c>
    </row>
    <row r="6" spans="2:6" ht="60" x14ac:dyDescent="0.25">
      <c r="B6" s="1" t="s">
        <v>2</v>
      </c>
      <c r="C6" s="1" t="s">
        <v>4</v>
      </c>
      <c r="D6" s="1" t="s">
        <v>3</v>
      </c>
      <c r="E6" s="1" t="s">
        <v>447</v>
      </c>
      <c r="F6" s="1" t="s">
        <v>5</v>
      </c>
    </row>
    <row r="7" spans="2:6" x14ac:dyDescent="0.25">
      <c r="B7" s="1"/>
      <c r="C7" s="1"/>
      <c r="D7" s="1"/>
      <c r="E7" s="1"/>
      <c r="F7" s="1"/>
    </row>
    <row r="8" spans="2:6" x14ac:dyDescent="0.25">
      <c r="B8" s="3" t="s">
        <v>6</v>
      </c>
      <c r="C8" s="1"/>
      <c r="D8" s="1"/>
      <c r="E8" s="1"/>
      <c r="F8" s="1"/>
    </row>
    <row r="9" spans="2:6" x14ac:dyDescent="0.25">
      <c r="B9" s="5" t="s">
        <v>7</v>
      </c>
      <c r="C9" s="1"/>
      <c r="D9" s="1"/>
      <c r="E9" s="1"/>
      <c r="F9" s="5">
        <v>2.0099999999999998</v>
      </c>
    </row>
    <row r="10" spans="2:6" x14ac:dyDescent="0.25">
      <c r="B10" s="5" t="s">
        <v>8</v>
      </c>
      <c r="C10" s="1"/>
      <c r="D10" s="1"/>
      <c r="E10" s="1"/>
      <c r="F10" s="5">
        <v>5.34</v>
      </c>
    </row>
    <row r="11" spans="2:6" ht="24.75" x14ac:dyDescent="0.25">
      <c r="B11" s="5" t="s">
        <v>11</v>
      </c>
      <c r="C11" s="1"/>
      <c r="D11" s="1"/>
      <c r="E11" s="1"/>
      <c r="F11" s="5">
        <v>0.55000000000000004</v>
      </c>
    </row>
    <row r="12" spans="2:6" ht="24.75" x14ac:dyDescent="0.25">
      <c r="B12" s="5" t="s">
        <v>12</v>
      </c>
      <c r="C12" s="1"/>
      <c r="D12" s="1"/>
      <c r="E12" s="1"/>
      <c r="F12" s="5">
        <v>0.53</v>
      </c>
    </row>
    <row r="13" spans="2:6" ht="24.75" x14ac:dyDescent="0.25">
      <c r="B13" s="5" t="s">
        <v>13</v>
      </c>
      <c r="C13" s="1"/>
      <c r="D13" s="1"/>
      <c r="E13" s="1"/>
      <c r="F13" s="5">
        <v>0.19</v>
      </c>
    </row>
    <row r="14" spans="2:6" ht="24.75" x14ac:dyDescent="0.25">
      <c r="B14" s="5" t="s">
        <v>14</v>
      </c>
      <c r="C14" s="1"/>
      <c r="D14" s="1"/>
      <c r="E14" s="1"/>
      <c r="F14" s="5">
        <v>1.25</v>
      </c>
    </row>
    <row r="15" spans="2:6" ht="24.75" x14ac:dyDescent="0.25">
      <c r="B15" s="5" t="s">
        <v>9</v>
      </c>
      <c r="C15" s="1"/>
      <c r="D15" s="1"/>
      <c r="E15" s="1"/>
      <c r="F15" s="5">
        <v>0.26</v>
      </c>
    </row>
    <row r="16" spans="2:6" ht="24.75" x14ac:dyDescent="0.25">
      <c r="B16" s="5" t="s">
        <v>15</v>
      </c>
      <c r="C16" s="1"/>
      <c r="D16" s="1"/>
      <c r="E16" s="1"/>
      <c r="F16" s="5">
        <v>0.27</v>
      </c>
    </row>
    <row r="17" spans="2:6" ht="24.75" x14ac:dyDescent="0.25">
      <c r="B17" s="5" t="s">
        <v>16</v>
      </c>
      <c r="C17" s="1"/>
      <c r="D17" s="1"/>
      <c r="E17" s="1"/>
      <c r="F17" s="5">
        <v>0.28999999999999998</v>
      </c>
    </row>
    <row r="18" spans="2:6" x14ac:dyDescent="0.25">
      <c r="B18" s="5" t="s">
        <v>17</v>
      </c>
      <c r="C18" s="1"/>
      <c r="D18" s="1"/>
      <c r="E18" s="1"/>
      <c r="F18" s="5">
        <v>0.32</v>
      </c>
    </row>
    <row r="19" spans="2:6" x14ac:dyDescent="0.25">
      <c r="B19" s="5" t="s">
        <v>18</v>
      </c>
      <c r="C19" s="1"/>
      <c r="D19" s="1"/>
      <c r="E19" s="1"/>
      <c r="F19" s="5">
        <v>1.97</v>
      </c>
    </row>
    <row r="20" spans="2:6" x14ac:dyDescent="0.25">
      <c r="B20" s="5" t="s">
        <v>19</v>
      </c>
      <c r="C20" s="1"/>
      <c r="D20" s="1"/>
      <c r="E20" s="1"/>
      <c r="F20" s="5">
        <v>3.95</v>
      </c>
    </row>
    <row r="21" spans="2:6" x14ac:dyDescent="0.25">
      <c r="B21" s="10" t="s">
        <v>20</v>
      </c>
      <c r="C21" s="1"/>
      <c r="D21" s="1"/>
      <c r="E21" s="1"/>
      <c r="F21" s="4">
        <f>SUM(F9:F20)</f>
        <v>16.93</v>
      </c>
    </row>
    <row r="22" spans="2:6" x14ac:dyDescent="0.25">
      <c r="B22" s="3" t="s">
        <v>21</v>
      </c>
      <c r="C22" s="1"/>
      <c r="D22" s="1"/>
      <c r="E22" s="1"/>
      <c r="F22" s="1"/>
    </row>
    <row r="23" spans="2:6" x14ac:dyDescent="0.25">
      <c r="B23" s="1" t="s">
        <v>317</v>
      </c>
      <c r="C23" s="1" t="s">
        <v>256</v>
      </c>
      <c r="D23" s="1">
        <v>1</v>
      </c>
      <c r="E23" s="1">
        <v>60</v>
      </c>
      <c r="F23" s="24">
        <f>E23/3107.3*1000/12</f>
        <v>1.6091140218195861</v>
      </c>
    </row>
    <row r="24" spans="2:6" x14ac:dyDescent="0.25">
      <c r="B24" s="1"/>
      <c r="C24" s="1"/>
      <c r="D24" s="1"/>
      <c r="E24" s="1"/>
      <c r="F24" s="24"/>
    </row>
    <row r="25" spans="2:6" x14ac:dyDescent="0.25">
      <c r="B25" s="1" t="s">
        <v>373</v>
      </c>
      <c r="C25" s="1" t="s">
        <v>265</v>
      </c>
      <c r="D25" s="1">
        <v>0.25</v>
      </c>
      <c r="E25" s="1">
        <v>12.5</v>
      </c>
      <c r="F25" s="24">
        <f t="shared" ref="F24:F35" si="0">E25/3107.3*1000/12</f>
        <v>0.33523208787908043</v>
      </c>
    </row>
    <row r="26" spans="2:6" x14ac:dyDescent="0.25">
      <c r="B26" s="1" t="s">
        <v>275</v>
      </c>
      <c r="C26" s="1" t="s">
        <v>26</v>
      </c>
      <c r="D26" s="1">
        <v>90</v>
      </c>
      <c r="E26" s="1">
        <v>135</v>
      </c>
      <c r="F26" s="24">
        <f t="shared" si="0"/>
        <v>3.6205065490940687</v>
      </c>
    </row>
    <row r="27" spans="2:6" x14ac:dyDescent="0.25">
      <c r="B27" s="1" t="s">
        <v>435</v>
      </c>
      <c r="C27" s="1" t="s">
        <v>261</v>
      </c>
      <c r="D27" s="1">
        <v>10</v>
      </c>
      <c r="E27" s="1">
        <v>5</v>
      </c>
      <c r="F27" s="24">
        <f t="shared" si="0"/>
        <v>0.13409283515163217</v>
      </c>
    </row>
    <row r="28" spans="2:6" x14ac:dyDescent="0.25">
      <c r="B28" s="1" t="s">
        <v>320</v>
      </c>
      <c r="C28" s="1" t="s">
        <v>261</v>
      </c>
      <c r="D28" s="1">
        <v>96</v>
      </c>
      <c r="E28" s="1">
        <v>182.4</v>
      </c>
      <c r="F28" s="24">
        <f t="shared" si="0"/>
        <v>4.8917066263315414</v>
      </c>
    </row>
    <row r="29" spans="2:6" x14ac:dyDescent="0.25">
      <c r="B29" s="1" t="s">
        <v>325</v>
      </c>
      <c r="C29" s="1" t="s">
        <v>261</v>
      </c>
      <c r="D29" s="1">
        <v>160</v>
      </c>
      <c r="E29" s="1">
        <v>304</v>
      </c>
      <c r="F29" s="24">
        <f t="shared" si="0"/>
        <v>8.1528443772192354</v>
      </c>
    </row>
    <row r="30" spans="2:6" x14ac:dyDescent="0.25">
      <c r="B30" s="1" t="s">
        <v>343</v>
      </c>
      <c r="C30" s="1" t="s">
        <v>256</v>
      </c>
      <c r="D30" s="1">
        <v>3</v>
      </c>
      <c r="E30" s="1">
        <v>450</v>
      </c>
      <c r="F30" s="24">
        <f t="shared" si="0"/>
        <v>12.068355163646894</v>
      </c>
    </row>
    <row r="31" spans="2:6" x14ac:dyDescent="0.25">
      <c r="B31" s="1" t="s">
        <v>436</v>
      </c>
      <c r="C31" s="1" t="s">
        <v>265</v>
      </c>
      <c r="D31" s="1">
        <v>20</v>
      </c>
      <c r="E31" s="1">
        <v>158</v>
      </c>
      <c r="F31" s="24">
        <f t="shared" si="0"/>
        <v>4.2373335907915761</v>
      </c>
    </row>
    <row r="32" spans="2:6" x14ac:dyDescent="0.25">
      <c r="B32" s="1" t="s">
        <v>372</v>
      </c>
      <c r="C32" s="1" t="s">
        <v>261</v>
      </c>
      <c r="D32" s="1">
        <v>300</v>
      </c>
      <c r="E32" s="1">
        <v>360</v>
      </c>
      <c r="F32" s="24">
        <f t="shared" si="0"/>
        <v>9.6546841309175164</v>
      </c>
    </row>
    <row r="33" spans="2:6" x14ac:dyDescent="0.25">
      <c r="B33" s="1" t="s">
        <v>323</v>
      </c>
      <c r="C33" s="1" t="s">
        <v>261</v>
      </c>
      <c r="D33" s="1">
        <v>1100</v>
      </c>
      <c r="E33" s="1">
        <v>1100</v>
      </c>
      <c r="F33" s="24">
        <f t="shared" si="0"/>
        <v>29.500423733359082</v>
      </c>
    </row>
    <row r="34" spans="2:6" x14ac:dyDescent="0.25">
      <c r="B34" s="1"/>
      <c r="C34" s="1"/>
      <c r="D34" s="1"/>
      <c r="E34" s="1"/>
      <c r="F34" s="24">
        <f t="shared" si="0"/>
        <v>0</v>
      </c>
    </row>
    <row r="35" spans="2:6" x14ac:dyDescent="0.25">
      <c r="B35" s="1"/>
      <c r="C35" s="1"/>
      <c r="D35" s="1"/>
      <c r="E35" s="1"/>
      <c r="F35" s="24">
        <f t="shared" si="0"/>
        <v>0</v>
      </c>
    </row>
    <row r="36" spans="2:6" x14ac:dyDescent="0.25">
      <c r="B36" s="10" t="s">
        <v>20</v>
      </c>
      <c r="C36" s="1"/>
      <c r="D36" s="1"/>
      <c r="E36" s="4">
        <f>SUM(E23:E35)</f>
        <v>2766.9</v>
      </c>
      <c r="F36" s="22">
        <f>SUM(F23:F35)</f>
        <v>74.204293116210209</v>
      </c>
    </row>
    <row r="37" spans="2:6" x14ac:dyDescent="0.25">
      <c r="B37" s="4" t="s">
        <v>22</v>
      </c>
      <c r="C37" s="6"/>
      <c r="D37" s="6"/>
      <c r="E37" s="6"/>
      <c r="F37" s="23">
        <f>F21+F36</f>
        <v>91.134293116210216</v>
      </c>
    </row>
    <row r="38" spans="2:6" x14ac:dyDescent="0.25">
      <c r="B38" s="7"/>
      <c r="C38" s="7"/>
      <c r="D38" s="7"/>
      <c r="E38" s="7"/>
      <c r="F38" s="7"/>
    </row>
    <row r="39" spans="2:6" x14ac:dyDescent="0.25">
      <c r="B39" s="13"/>
      <c r="C39" s="13"/>
      <c r="D39" s="13"/>
      <c r="E39" s="13"/>
      <c r="F39" s="13"/>
    </row>
    <row r="40" spans="2:6" x14ac:dyDescent="0.25">
      <c r="B40" s="13"/>
      <c r="C40" s="13"/>
      <c r="D40" s="13"/>
      <c r="E40" s="13"/>
      <c r="F40" s="13"/>
    </row>
    <row r="41" spans="2:6" x14ac:dyDescent="0.25">
      <c r="B41" s="39" t="s">
        <v>23</v>
      </c>
      <c r="C41" s="38"/>
      <c r="D41" s="38"/>
      <c r="E41" s="39" t="s">
        <v>24</v>
      </c>
      <c r="F41" s="38"/>
    </row>
    <row r="43" spans="2:6" ht="35.450000000000003" customHeight="1" x14ac:dyDescent="0.25">
      <c r="B43" s="37" t="s">
        <v>146</v>
      </c>
      <c r="C43" s="37"/>
      <c r="D43" s="37"/>
      <c r="E43" s="37"/>
      <c r="F43" s="37"/>
    </row>
    <row r="44" spans="2:6" ht="25.9" customHeight="1" x14ac:dyDescent="0.25">
      <c r="B44" s="37" t="s">
        <v>1</v>
      </c>
      <c r="C44" s="37"/>
      <c r="D44" s="37"/>
      <c r="E44" s="37"/>
      <c r="F44" s="37"/>
    </row>
    <row r="45" spans="2:6" x14ac:dyDescent="0.25">
      <c r="B45" s="14" t="s">
        <v>0</v>
      </c>
      <c r="C45" s="14"/>
      <c r="D45" s="14"/>
      <c r="E45" s="14"/>
      <c r="F45" s="14"/>
    </row>
    <row r="46" spans="2:6" x14ac:dyDescent="0.25">
      <c r="B46" s="12"/>
      <c r="C46" s="38" t="s">
        <v>25</v>
      </c>
      <c r="D46" s="38"/>
      <c r="E46" s="12">
        <v>2515.4</v>
      </c>
      <c r="F46" s="12" t="s">
        <v>26</v>
      </c>
    </row>
    <row r="48" spans="2:6" ht="60" x14ac:dyDescent="0.25">
      <c r="B48" s="1" t="s">
        <v>2</v>
      </c>
      <c r="C48" s="1" t="s">
        <v>4</v>
      </c>
      <c r="D48" s="1" t="s">
        <v>3</v>
      </c>
      <c r="E48" s="1" t="s">
        <v>447</v>
      </c>
      <c r="F48" s="1" t="s">
        <v>5</v>
      </c>
    </row>
    <row r="49" spans="2:6" x14ac:dyDescent="0.25">
      <c r="B49" s="1"/>
      <c r="C49" s="1"/>
      <c r="D49" s="1"/>
      <c r="E49" s="1"/>
      <c r="F49" s="1"/>
    </row>
    <row r="50" spans="2:6" x14ac:dyDescent="0.25">
      <c r="B50" s="3" t="s">
        <v>6</v>
      </c>
      <c r="C50" s="1"/>
      <c r="D50" s="1"/>
      <c r="E50" s="1"/>
      <c r="F50" s="1"/>
    </row>
    <row r="51" spans="2:6" x14ac:dyDescent="0.25">
      <c r="B51" s="5" t="s">
        <v>7</v>
      </c>
      <c r="C51" s="1"/>
      <c r="D51" s="1"/>
      <c r="E51" s="1"/>
      <c r="F51" s="5">
        <v>2.0099999999999998</v>
      </c>
    </row>
    <row r="52" spans="2:6" x14ac:dyDescent="0.25">
      <c r="B52" s="5" t="s">
        <v>8</v>
      </c>
      <c r="C52" s="1"/>
      <c r="D52" s="1"/>
      <c r="E52" s="1"/>
      <c r="F52" s="5">
        <v>5.34</v>
      </c>
    </row>
    <row r="53" spans="2:6" ht="24.75" x14ac:dyDescent="0.25">
      <c r="B53" s="5" t="s">
        <v>11</v>
      </c>
      <c r="C53" s="1"/>
      <c r="D53" s="1"/>
      <c r="E53" s="1"/>
      <c r="F53" s="5">
        <v>0.55000000000000004</v>
      </c>
    </row>
    <row r="54" spans="2:6" ht="24.75" x14ac:dyDescent="0.25">
      <c r="B54" s="5" t="s">
        <v>12</v>
      </c>
      <c r="C54" s="1"/>
      <c r="D54" s="1"/>
      <c r="E54" s="1"/>
      <c r="F54" s="5">
        <v>0.53</v>
      </c>
    </row>
    <row r="55" spans="2:6" ht="24.75" x14ac:dyDescent="0.25">
      <c r="B55" s="5" t="s">
        <v>13</v>
      </c>
      <c r="C55" s="1"/>
      <c r="D55" s="1"/>
      <c r="E55" s="1"/>
      <c r="F55" s="5">
        <v>0.19</v>
      </c>
    </row>
    <row r="56" spans="2:6" ht="24.75" x14ac:dyDescent="0.25">
      <c r="B56" s="5" t="s">
        <v>14</v>
      </c>
      <c r="C56" s="1"/>
      <c r="D56" s="1"/>
      <c r="E56" s="1"/>
      <c r="F56" s="5">
        <v>1.25</v>
      </c>
    </row>
    <row r="57" spans="2:6" ht="24.75" x14ac:dyDescent="0.25">
      <c r="B57" s="5" t="s">
        <v>9</v>
      </c>
      <c r="C57" s="1"/>
      <c r="D57" s="1"/>
      <c r="E57" s="1"/>
      <c r="F57" s="5">
        <v>0.26</v>
      </c>
    </row>
    <row r="58" spans="2:6" ht="24.75" x14ac:dyDescent="0.25">
      <c r="B58" s="5" t="s">
        <v>15</v>
      </c>
      <c r="C58" s="1"/>
      <c r="D58" s="1"/>
      <c r="E58" s="1"/>
      <c r="F58" s="5">
        <v>0.27</v>
      </c>
    </row>
    <row r="59" spans="2:6" ht="24.75" x14ac:dyDescent="0.25">
      <c r="B59" s="5" t="s">
        <v>16</v>
      </c>
      <c r="C59" s="1"/>
      <c r="D59" s="1"/>
      <c r="E59" s="1"/>
      <c r="F59" s="5">
        <v>0.28999999999999998</v>
      </c>
    </row>
    <row r="60" spans="2:6" x14ac:dyDescent="0.25">
      <c r="B60" s="5" t="s">
        <v>17</v>
      </c>
      <c r="C60" s="1"/>
      <c r="D60" s="1"/>
      <c r="E60" s="1"/>
      <c r="F60" s="5">
        <v>0.32</v>
      </c>
    </row>
    <row r="61" spans="2:6" x14ac:dyDescent="0.25">
      <c r="B61" s="5" t="s">
        <v>18</v>
      </c>
      <c r="C61" s="1"/>
      <c r="D61" s="1"/>
      <c r="E61" s="1"/>
      <c r="F61" s="5">
        <v>1.97</v>
      </c>
    </row>
    <row r="62" spans="2:6" x14ac:dyDescent="0.25">
      <c r="B62" s="5" t="s">
        <v>19</v>
      </c>
      <c r="C62" s="1"/>
      <c r="D62" s="1"/>
      <c r="E62" s="1"/>
      <c r="F62" s="5">
        <v>3.95</v>
      </c>
    </row>
    <row r="63" spans="2:6" x14ac:dyDescent="0.25">
      <c r="B63" s="10" t="s">
        <v>20</v>
      </c>
      <c r="C63" s="1"/>
      <c r="D63" s="1"/>
      <c r="E63" s="1"/>
      <c r="F63" s="4">
        <f>SUM(F51:F62)</f>
        <v>16.93</v>
      </c>
    </row>
    <row r="64" spans="2:6" x14ac:dyDescent="0.25">
      <c r="B64" s="3" t="s">
        <v>21</v>
      </c>
      <c r="C64" s="1"/>
      <c r="D64" s="1"/>
      <c r="E64" s="1"/>
      <c r="F64" s="1"/>
    </row>
    <row r="65" spans="2:6" x14ac:dyDescent="0.25">
      <c r="B65" s="1" t="s">
        <v>317</v>
      </c>
      <c r="C65" s="1" t="s">
        <v>256</v>
      </c>
      <c r="D65" s="1">
        <v>1</v>
      </c>
      <c r="E65" s="1">
        <v>60</v>
      </c>
      <c r="F65" s="24">
        <f>E65/2515.4*1000/12</f>
        <v>1.9877554265723143</v>
      </c>
    </row>
    <row r="66" spans="2:6" x14ac:dyDescent="0.25">
      <c r="B66" s="1" t="s">
        <v>373</v>
      </c>
      <c r="C66" s="1" t="s">
        <v>265</v>
      </c>
      <c r="D66" s="1">
        <v>0.25</v>
      </c>
      <c r="E66" s="1">
        <v>12.5</v>
      </c>
      <c r="F66" s="24">
        <f t="shared" ref="F66:F77" si="1">E66/2515.4*1000/12</f>
        <v>0.41411571386923218</v>
      </c>
    </row>
    <row r="67" spans="2:6" x14ac:dyDescent="0.25">
      <c r="B67" s="1" t="s">
        <v>437</v>
      </c>
      <c r="C67" s="1" t="s">
        <v>261</v>
      </c>
      <c r="D67" s="1">
        <v>15</v>
      </c>
      <c r="E67" s="1">
        <v>7.5</v>
      </c>
      <c r="F67" s="24">
        <f t="shared" si="1"/>
        <v>0.24846942832153929</v>
      </c>
    </row>
    <row r="68" spans="2:6" x14ac:dyDescent="0.25">
      <c r="B68" s="1" t="s">
        <v>320</v>
      </c>
      <c r="C68" s="1" t="s">
        <v>261</v>
      </c>
      <c r="D68" s="1">
        <v>72</v>
      </c>
      <c r="E68" s="1">
        <v>136.80000000000001</v>
      </c>
      <c r="F68" s="24">
        <f t="shared" si="1"/>
        <v>4.5320823725848776</v>
      </c>
    </row>
    <row r="69" spans="2:6" x14ac:dyDescent="0.25">
      <c r="B69" s="1" t="s">
        <v>325</v>
      </c>
      <c r="C69" s="1" t="s">
        <v>261</v>
      </c>
      <c r="D69" s="1">
        <v>112</v>
      </c>
      <c r="E69" s="1">
        <v>212.8</v>
      </c>
      <c r="F69" s="24">
        <f t="shared" si="1"/>
        <v>7.0499059129098081</v>
      </c>
    </row>
    <row r="70" spans="2:6" x14ac:dyDescent="0.25">
      <c r="B70" s="1" t="s">
        <v>343</v>
      </c>
      <c r="C70" s="1" t="s">
        <v>256</v>
      </c>
      <c r="D70" s="1">
        <v>3</v>
      </c>
      <c r="E70" s="1">
        <v>450</v>
      </c>
      <c r="F70" s="24">
        <f t="shared" si="1"/>
        <v>14.908165699292359</v>
      </c>
    </row>
    <row r="71" spans="2:6" x14ac:dyDescent="0.25">
      <c r="B71" s="1" t="s">
        <v>438</v>
      </c>
      <c r="C71" s="1" t="s">
        <v>265</v>
      </c>
      <c r="D71" s="1">
        <v>40</v>
      </c>
      <c r="E71" s="1">
        <v>18</v>
      </c>
      <c r="F71" s="24">
        <f t="shared" si="1"/>
        <v>0.59632662797169433</v>
      </c>
    </row>
    <row r="72" spans="2:6" x14ac:dyDescent="0.25">
      <c r="B72" s="1" t="s">
        <v>322</v>
      </c>
      <c r="C72" s="1" t="s">
        <v>261</v>
      </c>
      <c r="D72" s="1">
        <v>250</v>
      </c>
      <c r="E72" s="1">
        <v>300</v>
      </c>
      <c r="F72" s="24">
        <f t="shared" si="1"/>
        <v>9.9387771328615724</v>
      </c>
    </row>
    <row r="73" spans="2:6" x14ac:dyDescent="0.25">
      <c r="B73" s="1" t="s">
        <v>323</v>
      </c>
      <c r="C73" s="1" t="s">
        <v>261</v>
      </c>
      <c r="D73" s="1">
        <v>950</v>
      </c>
      <c r="E73" s="1">
        <v>950</v>
      </c>
      <c r="F73" s="24">
        <f t="shared" si="1"/>
        <v>31.472794254061643</v>
      </c>
    </row>
    <row r="74" spans="2:6" x14ac:dyDescent="0.25">
      <c r="B74" s="1"/>
      <c r="C74" s="1"/>
      <c r="D74" s="1"/>
      <c r="E74" s="1"/>
      <c r="F74" s="24">
        <f t="shared" si="1"/>
        <v>0</v>
      </c>
    </row>
    <row r="75" spans="2:6" x14ac:dyDescent="0.25">
      <c r="B75" s="1"/>
      <c r="C75" s="1"/>
      <c r="D75" s="1"/>
      <c r="E75" s="1"/>
      <c r="F75" s="24">
        <f t="shared" si="1"/>
        <v>0</v>
      </c>
    </row>
    <row r="76" spans="2:6" x14ac:dyDescent="0.25">
      <c r="B76" s="1"/>
      <c r="C76" s="1"/>
      <c r="D76" s="1"/>
      <c r="E76" s="1"/>
      <c r="F76" s="24">
        <f t="shared" si="1"/>
        <v>0</v>
      </c>
    </row>
    <row r="77" spans="2:6" x14ac:dyDescent="0.25">
      <c r="B77" s="1"/>
      <c r="C77" s="1"/>
      <c r="D77" s="1"/>
      <c r="E77" s="1"/>
      <c r="F77" s="24">
        <f t="shared" si="1"/>
        <v>0</v>
      </c>
    </row>
    <row r="78" spans="2:6" x14ac:dyDescent="0.25">
      <c r="B78" s="10" t="s">
        <v>20</v>
      </c>
      <c r="C78" s="1"/>
      <c r="D78" s="1"/>
      <c r="E78" s="4">
        <f>SUM(E65:E77)</f>
        <v>2147.6</v>
      </c>
      <c r="F78" s="22">
        <f>SUM(F65:F77)</f>
        <v>71.148392568445047</v>
      </c>
    </row>
    <row r="79" spans="2:6" x14ac:dyDescent="0.25">
      <c r="B79" s="4" t="s">
        <v>22</v>
      </c>
      <c r="C79" s="6"/>
      <c r="D79" s="6"/>
      <c r="E79" s="6"/>
      <c r="F79" s="23">
        <f>F63+F78</f>
        <v>88.078392568445054</v>
      </c>
    </row>
    <row r="80" spans="2:6" x14ac:dyDescent="0.25">
      <c r="B80" s="7"/>
      <c r="C80" s="7"/>
      <c r="D80" s="7"/>
      <c r="E80" s="7"/>
      <c r="F80" s="7"/>
    </row>
    <row r="81" spans="2:6" x14ac:dyDescent="0.25">
      <c r="B81" s="13"/>
      <c r="C81" s="13"/>
      <c r="D81" s="13"/>
      <c r="E81" s="13"/>
      <c r="F81" s="13"/>
    </row>
    <row r="82" spans="2:6" x14ac:dyDescent="0.25">
      <c r="B82" s="13"/>
      <c r="C82" s="13"/>
      <c r="D82" s="13"/>
      <c r="E82" s="13"/>
      <c r="F82" s="13"/>
    </row>
    <row r="83" spans="2:6" x14ac:dyDescent="0.25">
      <c r="B83" s="39" t="s">
        <v>23</v>
      </c>
      <c r="C83" s="38"/>
      <c r="D83" s="38"/>
      <c r="E83" s="39" t="s">
        <v>24</v>
      </c>
      <c r="F83" s="38"/>
    </row>
    <row r="85" spans="2:6" ht="43.15" customHeight="1" x14ac:dyDescent="0.25">
      <c r="B85" s="37" t="s">
        <v>147</v>
      </c>
      <c r="C85" s="37"/>
      <c r="D85" s="37"/>
      <c r="E85" s="37"/>
      <c r="F85" s="37"/>
    </row>
    <row r="86" spans="2:6" ht="29.45" customHeight="1" x14ac:dyDescent="0.25">
      <c r="B86" s="37" t="s">
        <v>1</v>
      </c>
      <c r="C86" s="37"/>
      <c r="D86" s="37"/>
      <c r="E86" s="37"/>
      <c r="F86" s="37"/>
    </row>
    <row r="87" spans="2:6" x14ac:dyDescent="0.25">
      <c r="B87" s="14" t="s">
        <v>0</v>
      </c>
      <c r="C87" s="14"/>
      <c r="D87" s="14"/>
      <c r="E87" s="14"/>
      <c r="F87" s="14"/>
    </row>
    <row r="88" spans="2:6" x14ac:dyDescent="0.25">
      <c r="B88" s="12"/>
      <c r="C88" s="38" t="s">
        <v>25</v>
      </c>
      <c r="D88" s="38"/>
      <c r="E88" s="12">
        <v>3271.7</v>
      </c>
      <c r="F88" s="12" t="s">
        <v>26</v>
      </c>
    </row>
    <row r="90" spans="2:6" ht="60" x14ac:dyDescent="0.25">
      <c r="B90" s="1" t="s">
        <v>2</v>
      </c>
      <c r="C90" s="1" t="s">
        <v>4</v>
      </c>
      <c r="D90" s="1" t="s">
        <v>3</v>
      </c>
      <c r="E90" s="1" t="s">
        <v>447</v>
      </c>
      <c r="F90" s="1" t="s">
        <v>5</v>
      </c>
    </row>
    <row r="91" spans="2:6" x14ac:dyDescent="0.25">
      <c r="B91" s="1"/>
      <c r="C91" s="1"/>
      <c r="D91" s="1"/>
      <c r="E91" s="1"/>
      <c r="F91" s="1"/>
    </row>
    <row r="92" spans="2:6" x14ac:dyDescent="0.25">
      <c r="B92" s="3" t="s">
        <v>6</v>
      </c>
      <c r="C92" s="1"/>
      <c r="D92" s="1"/>
      <c r="E92" s="1"/>
      <c r="F92" s="1"/>
    </row>
    <row r="93" spans="2:6" x14ac:dyDescent="0.25">
      <c r="B93" s="5" t="s">
        <v>7</v>
      </c>
      <c r="C93" s="1"/>
      <c r="D93" s="1"/>
      <c r="E93" s="1"/>
      <c r="F93" s="5">
        <v>2.0099999999999998</v>
      </c>
    </row>
    <row r="94" spans="2:6" x14ac:dyDescent="0.25">
      <c r="B94" s="5" t="s">
        <v>8</v>
      </c>
      <c r="C94" s="1"/>
      <c r="D94" s="1"/>
      <c r="E94" s="1"/>
      <c r="F94" s="5">
        <v>5.34</v>
      </c>
    </row>
    <row r="95" spans="2:6" x14ac:dyDescent="0.25">
      <c r="B95" s="15" t="s">
        <v>30</v>
      </c>
      <c r="C95" s="1"/>
      <c r="D95" s="1"/>
      <c r="E95" s="1"/>
      <c r="F95" s="5">
        <v>0.06</v>
      </c>
    </row>
    <row r="96" spans="2:6" ht="24.75" x14ac:dyDescent="0.25">
      <c r="B96" s="5" t="s">
        <v>11</v>
      </c>
      <c r="C96" s="1"/>
      <c r="D96" s="1"/>
      <c r="E96" s="1"/>
      <c r="F96" s="5">
        <v>0.55000000000000004</v>
      </c>
    </row>
    <row r="97" spans="2:6" ht="24.75" x14ac:dyDescent="0.25">
      <c r="B97" s="5" t="s">
        <v>12</v>
      </c>
      <c r="C97" s="1"/>
      <c r="D97" s="1"/>
      <c r="E97" s="1"/>
      <c r="F97" s="5">
        <v>0.53</v>
      </c>
    </row>
    <row r="98" spans="2:6" ht="24.75" x14ac:dyDescent="0.25">
      <c r="B98" s="5" t="s">
        <v>13</v>
      </c>
      <c r="C98" s="1"/>
      <c r="D98" s="1"/>
      <c r="E98" s="1"/>
      <c r="F98" s="5">
        <v>0.19</v>
      </c>
    </row>
    <row r="99" spans="2:6" ht="24.75" x14ac:dyDescent="0.25">
      <c r="B99" s="5" t="s">
        <v>14</v>
      </c>
      <c r="C99" s="1"/>
      <c r="D99" s="1"/>
      <c r="E99" s="1"/>
      <c r="F99" s="5">
        <v>1.25</v>
      </c>
    </row>
    <row r="100" spans="2:6" ht="24.75" x14ac:dyDescent="0.25">
      <c r="B100" s="5" t="s">
        <v>9</v>
      </c>
      <c r="C100" s="1"/>
      <c r="D100" s="1"/>
      <c r="E100" s="1"/>
      <c r="F100" s="5">
        <v>0.26</v>
      </c>
    </row>
    <row r="101" spans="2:6" ht="24.75" x14ac:dyDescent="0.25">
      <c r="B101" s="5" t="s">
        <v>15</v>
      </c>
      <c r="C101" s="1"/>
      <c r="D101" s="1"/>
      <c r="E101" s="1"/>
      <c r="F101" s="5">
        <v>0.27</v>
      </c>
    </row>
    <row r="102" spans="2:6" ht="24.75" x14ac:dyDescent="0.25">
      <c r="B102" s="5" t="s">
        <v>16</v>
      </c>
      <c r="C102" s="1"/>
      <c r="D102" s="1"/>
      <c r="E102" s="1"/>
      <c r="F102" s="5">
        <v>0.28999999999999998</v>
      </c>
    </row>
    <row r="103" spans="2:6" x14ac:dyDescent="0.25">
      <c r="B103" s="5" t="s">
        <v>17</v>
      </c>
      <c r="C103" s="1"/>
      <c r="D103" s="1"/>
      <c r="E103" s="1"/>
      <c r="F103" s="5">
        <v>0.32</v>
      </c>
    </row>
    <row r="104" spans="2:6" x14ac:dyDescent="0.25">
      <c r="B104" s="5" t="s">
        <v>18</v>
      </c>
      <c r="C104" s="1"/>
      <c r="D104" s="1"/>
      <c r="E104" s="1"/>
      <c r="F104" s="5">
        <v>1.97</v>
      </c>
    </row>
    <row r="105" spans="2:6" x14ac:dyDescent="0.25">
      <c r="B105" s="5" t="s">
        <v>19</v>
      </c>
      <c r="C105" s="1"/>
      <c r="D105" s="1"/>
      <c r="E105" s="1"/>
      <c r="F105" s="5">
        <v>3.95</v>
      </c>
    </row>
    <row r="106" spans="2:6" x14ac:dyDescent="0.25">
      <c r="B106" s="10" t="s">
        <v>20</v>
      </c>
      <c r="C106" s="1"/>
      <c r="D106" s="1"/>
      <c r="E106" s="1"/>
      <c r="F106" s="4">
        <f>SUM(F93:F105)</f>
        <v>16.989999999999998</v>
      </c>
    </row>
    <row r="107" spans="2:6" x14ac:dyDescent="0.25">
      <c r="B107" s="3" t="s">
        <v>21</v>
      </c>
      <c r="C107" s="1"/>
      <c r="D107" s="1"/>
      <c r="E107" s="1"/>
      <c r="F107" s="1"/>
    </row>
    <row r="108" spans="2:6" x14ac:dyDescent="0.25">
      <c r="B108" s="1"/>
      <c r="C108" s="1"/>
      <c r="D108" s="1"/>
      <c r="E108" s="1"/>
      <c r="F108" s="24"/>
    </row>
    <row r="109" spans="2:6" x14ac:dyDescent="0.25">
      <c r="B109" s="1"/>
      <c r="C109" s="1"/>
      <c r="D109" s="1"/>
      <c r="E109" s="1"/>
      <c r="F109" s="24"/>
    </row>
    <row r="110" spans="2:6" x14ac:dyDescent="0.25">
      <c r="B110" s="1" t="s">
        <v>319</v>
      </c>
      <c r="C110" s="1" t="s">
        <v>261</v>
      </c>
      <c r="D110" s="1">
        <v>60</v>
      </c>
      <c r="E110" s="1">
        <v>78</v>
      </c>
      <c r="F110" s="24">
        <f t="shared" ref="F109:F120" si="2">E110/3271.7*1000/12</f>
        <v>1.9867347250664791</v>
      </c>
    </row>
    <row r="111" spans="2:6" x14ac:dyDescent="0.25">
      <c r="B111" s="1" t="s">
        <v>437</v>
      </c>
      <c r="C111" s="1" t="s">
        <v>261</v>
      </c>
      <c r="D111" s="1">
        <v>15</v>
      </c>
      <c r="E111" s="1">
        <v>7.5</v>
      </c>
      <c r="F111" s="24">
        <f t="shared" si="2"/>
        <v>0.19103218510254608</v>
      </c>
    </row>
    <row r="112" spans="2:6" x14ac:dyDescent="0.25">
      <c r="B112" s="1" t="s">
        <v>325</v>
      </c>
      <c r="C112" s="1" t="s">
        <v>261</v>
      </c>
      <c r="D112" s="1">
        <v>60</v>
      </c>
      <c r="E112" s="1">
        <v>114</v>
      </c>
      <c r="F112" s="24">
        <f t="shared" si="2"/>
        <v>2.9036892135587009</v>
      </c>
    </row>
    <row r="113" spans="2:6" x14ac:dyDescent="0.25">
      <c r="B113" s="1" t="s">
        <v>321</v>
      </c>
      <c r="C113" s="1" t="s">
        <v>256</v>
      </c>
      <c r="D113" s="1">
        <v>4</v>
      </c>
      <c r="E113" s="1">
        <v>600</v>
      </c>
      <c r="F113" s="24">
        <f t="shared" si="2"/>
        <v>15.282574808203686</v>
      </c>
    </row>
    <row r="114" spans="2:6" x14ac:dyDescent="0.25">
      <c r="B114" s="1" t="s">
        <v>322</v>
      </c>
      <c r="C114" s="1" t="s">
        <v>261</v>
      </c>
      <c r="D114" s="1">
        <v>300</v>
      </c>
      <c r="E114" s="1">
        <v>360</v>
      </c>
      <c r="F114" s="24">
        <f t="shared" si="2"/>
        <v>9.1695448849222121</v>
      </c>
    </row>
    <row r="115" spans="2:6" x14ac:dyDescent="0.25">
      <c r="B115" s="1" t="s">
        <v>323</v>
      </c>
      <c r="C115" s="1" t="s">
        <v>261</v>
      </c>
      <c r="D115" s="1">
        <v>1100</v>
      </c>
      <c r="E115" s="1">
        <v>1100</v>
      </c>
      <c r="F115" s="24">
        <f t="shared" si="2"/>
        <v>28.018053815040091</v>
      </c>
    </row>
    <row r="116" spans="2:6" x14ac:dyDescent="0.25">
      <c r="B116" s="1"/>
      <c r="C116" s="1"/>
      <c r="D116" s="1"/>
      <c r="E116" s="1"/>
      <c r="F116" s="24">
        <f t="shared" si="2"/>
        <v>0</v>
      </c>
    </row>
    <row r="117" spans="2:6" x14ac:dyDescent="0.25">
      <c r="B117" s="1"/>
      <c r="C117" s="1"/>
      <c r="D117" s="1"/>
      <c r="E117" s="1"/>
      <c r="F117" s="24">
        <f t="shared" si="2"/>
        <v>0</v>
      </c>
    </row>
    <row r="118" spans="2:6" x14ac:dyDescent="0.25">
      <c r="B118" s="1"/>
      <c r="C118" s="1"/>
      <c r="D118" s="1"/>
      <c r="E118" s="1"/>
      <c r="F118" s="24">
        <f t="shared" si="2"/>
        <v>0</v>
      </c>
    </row>
    <row r="119" spans="2:6" x14ac:dyDescent="0.25">
      <c r="B119" s="1"/>
      <c r="C119" s="1"/>
      <c r="D119" s="1"/>
      <c r="E119" s="1"/>
      <c r="F119" s="24">
        <f t="shared" si="2"/>
        <v>0</v>
      </c>
    </row>
    <row r="120" spans="2:6" x14ac:dyDescent="0.25">
      <c r="B120" s="1"/>
      <c r="C120" s="1"/>
      <c r="D120" s="1"/>
      <c r="E120" s="1"/>
      <c r="F120" s="24">
        <f t="shared" si="2"/>
        <v>0</v>
      </c>
    </row>
    <row r="121" spans="2:6" x14ac:dyDescent="0.25">
      <c r="B121" s="10" t="s">
        <v>20</v>
      </c>
      <c r="C121" s="1"/>
      <c r="D121" s="1"/>
      <c r="E121" s="4">
        <f>SUM(E108:E120)</f>
        <v>2259.5</v>
      </c>
      <c r="F121" s="22">
        <f>SUM(F108:F120)</f>
        <v>57.551629631893711</v>
      </c>
    </row>
    <row r="122" spans="2:6" x14ac:dyDescent="0.25">
      <c r="B122" s="4" t="s">
        <v>22</v>
      </c>
      <c r="C122" s="6"/>
      <c r="D122" s="6"/>
      <c r="E122" s="6"/>
      <c r="F122" s="23">
        <f>F106+F121</f>
        <v>74.541629631893713</v>
      </c>
    </row>
    <row r="123" spans="2:6" x14ac:dyDescent="0.25">
      <c r="B123" s="7"/>
      <c r="C123" s="7"/>
      <c r="D123" s="7"/>
      <c r="E123" s="7"/>
      <c r="F123" s="7"/>
    </row>
    <row r="124" spans="2:6" x14ac:dyDescent="0.25">
      <c r="B124" s="13"/>
      <c r="C124" s="13"/>
      <c r="D124" s="13"/>
      <c r="E124" s="13"/>
      <c r="F124" s="13"/>
    </row>
    <row r="125" spans="2:6" x14ac:dyDescent="0.25">
      <c r="B125" s="13"/>
      <c r="C125" s="13"/>
      <c r="D125" s="13"/>
      <c r="E125" s="13"/>
      <c r="F125" s="13"/>
    </row>
    <row r="126" spans="2:6" x14ac:dyDescent="0.25">
      <c r="B126" s="39" t="s">
        <v>23</v>
      </c>
      <c r="C126" s="38"/>
      <c r="D126" s="38"/>
      <c r="E126" s="39" t="s">
        <v>24</v>
      </c>
      <c r="F126" s="38"/>
    </row>
    <row r="128" spans="2:6" ht="28.15" customHeight="1" x14ac:dyDescent="0.25">
      <c r="B128" s="37" t="s">
        <v>148</v>
      </c>
      <c r="C128" s="37"/>
      <c r="D128" s="37"/>
      <c r="E128" s="37"/>
      <c r="F128" s="37"/>
    </row>
    <row r="129" spans="2:6" ht="35.450000000000003" customHeight="1" x14ac:dyDescent="0.25">
      <c r="B129" s="37" t="s">
        <v>1</v>
      </c>
      <c r="C129" s="37"/>
      <c r="D129" s="37"/>
      <c r="E129" s="37"/>
      <c r="F129" s="37"/>
    </row>
    <row r="130" spans="2:6" x14ac:dyDescent="0.25">
      <c r="B130" s="14" t="s">
        <v>0</v>
      </c>
      <c r="C130" s="14"/>
      <c r="D130" s="14"/>
      <c r="E130" s="14"/>
      <c r="F130" s="14"/>
    </row>
    <row r="131" spans="2:6" x14ac:dyDescent="0.25">
      <c r="B131" s="12"/>
      <c r="C131" s="38" t="s">
        <v>25</v>
      </c>
      <c r="D131" s="38"/>
      <c r="E131" s="12">
        <v>3223.5</v>
      </c>
      <c r="F131" s="12" t="s">
        <v>26</v>
      </c>
    </row>
    <row r="133" spans="2:6" ht="60" x14ac:dyDescent="0.25">
      <c r="B133" s="1" t="s">
        <v>2</v>
      </c>
      <c r="C133" s="1" t="s">
        <v>4</v>
      </c>
      <c r="D133" s="1" t="s">
        <v>3</v>
      </c>
      <c r="E133" s="1" t="s">
        <v>447</v>
      </c>
      <c r="F133" s="1" t="s">
        <v>5</v>
      </c>
    </row>
    <row r="134" spans="2:6" x14ac:dyDescent="0.25">
      <c r="B134" s="1"/>
      <c r="C134" s="1"/>
      <c r="D134" s="1"/>
      <c r="E134" s="1"/>
      <c r="F134" s="1"/>
    </row>
    <row r="135" spans="2:6" x14ac:dyDescent="0.25">
      <c r="B135" s="3" t="s">
        <v>6</v>
      </c>
      <c r="C135" s="1"/>
      <c r="D135" s="1"/>
      <c r="E135" s="1"/>
      <c r="F135" s="1"/>
    </row>
    <row r="136" spans="2:6" x14ac:dyDescent="0.25">
      <c r="B136" s="5" t="s">
        <v>7</v>
      </c>
      <c r="C136" s="1"/>
      <c r="D136" s="1"/>
      <c r="E136" s="1"/>
      <c r="F136" s="5">
        <v>2.0099999999999998</v>
      </c>
    </row>
    <row r="137" spans="2:6" x14ac:dyDescent="0.25">
      <c r="B137" s="5" t="s">
        <v>8</v>
      </c>
      <c r="C137" s="1"/>
      <c r="D137" s="1"/>
      <c r="E137" s="1"/>
      <c r="F137" s="5">
        <v>5.34</v>
      </c>
    </row>
    <row r="138" spans="2:6" x14ac:dyDescent="0.25">
      <c r="B138" s="15" t="s">
        <v>30</v>
      </c>
      <c r="C138" s="1"/>
      <c r="D138" s="1"/>
      <c r="E138" s="1"/>
      <c r="F138" s="5">
        <v>0.06</v>
      </c>
    </row>
    <row r="139" spans="2:6" ht="24.75" x14ac:dyDescent="0.25">
      <c r="B139" s="5" t="s">
        <v>11</v>
      </c>
      <c r="C139" s="1"/>
      <c r="D139" s="1"/>
      <c r="E139" s="1"/>
      <c r="F139" s="5">
        <v>0.55000000000000004</v>
      </c>
    </row>
    <row r="140" spans="2:6" ht="24.75" x14ac:dyDescent="0.25">
      <c r="B140" s="5" t="s">
        <v>12</v>
      </c>
      <c r="C140" s="1"/>
      <c r="D140" s="1"/>
      <c r="E140" s="1"/>
      <c r="F140" s="5">
        <v>0.53</v>
      </c>
    </row>
    <row r="141" spans="2:6" ht="24.75" x14ac:dyDescent="0.25">
      <c r="B141" s="5" t="s">
        <v>13</v>
      </c>
      <c r="C141" s="1"/>
      <c r="D141" s="1"/>
      <c r="E141" s="1"/>
      <c r="F141" s="5">
        <v>0.19</v>
      </c>
    </row>
    <row r="142" spans="2:6" ht="24.75" x14ac:dyDescent="0.25">
      <c r="B142" s="5" t="s">
        <v>14</v>
      </c>
      <c r="C142" s="1"/>
      <c r="D142" s="1"/>
      <c r="E142" s="1"/>
      <c r="F142" s="5">
        <v>1.25</v>
      </c>
    </row>
    <row r="143" spans="2:6" ht="24.75" x14ac:dyDescent="0.25">
      <c r="B143" s="5" t="s">
        <v>9</v>
      </c>
      <c r="C143" s="1"/>
      <c r="D143" s="1"/>
      <c r="E143" s="1"/>
      <c r="F143" s="5">
        <v>0.26</v>
      </c>
    </row>
    <row r="144" spans="2:6" ht="24.75" x14ac:dyDescent="0.25">
      <c r="B144" s="5" t="s">
        <v>15</v>
      </c>
      <c r="C144" s="1"/>
      <c r="D144" s="1"/>
      <c r="E144" s="1"/>
      <c r="F144" s="5">
        <v>0.27</v>
      </c>
    </row>
    <row r="145" spans="2:6" ht="24.75" x14ac:dyDescent="0.25">
      <c r="B145" s="5" t="s">
        <v>16</v>
      </c>
      <c r="C145" s="1"/>
      <c r="D145" s="1"/>
      <c r="E145" s="1"/>
      <c r="F145" s="5">
        <v>0.28999999999999998</v>
      </c>
    </row>
    <row r="146" spans="2:6" x14ac:dyDescent="0.25">
      <c r="B146" s="5" t="s">
        <v>17</v>
      </c>
      <c r="C146" s="1"/>
      <c r="D146" s="1"/>
      <c r="E146" s="1"/>
      <c r="F146" s="5">
        <v>0.32</v>
      </c>
    </row>
    <row r="147" spans="2:6" x14ac:dyDescent="0.25">
      <c r="B147" s="5" t="s">
        <v>18</v>
      </c>
      <c r="C147" s="1"/>
      <c r="D147" s="1"/>
      <c r="E147" s="1"/>
      <c r="F147" s="5">
        <v>1.97</v>
      </c>
    </row>
    <row r="148" spans="2:6" x14ac:dyDescent="0.25">
      <c r="B148" s="5" t="s">
        <v>19</v>
      </c>
      <c r="C148" s="1"/>
      <c r="D148" s="1"/>
      <c r="E148" s="1"/>
      <c r="F148" s="5">
        <v>3.95</v>
      </c>
    </row>
    <row r="149" spans="2:6" x14ac:dyDescent="0.25">
      <c r="B149" s="10" t="s">
        <v>20</v>
      </c>
      <c r="C149" s="1"/>
      <c r="D149" s="1"/>
      <c r="E149" s="1"/>
      <c r="F149" s="4">
        <f>SUM(F136:F148)</f>
        <v>16.989999999999998</v>
      </c>
    </row>
    <row r="150" spans="2:6" x14ac:dyDescent="0.25">
      <c r="B150" s="3" t="s">
        <v>21</v>
      </c>
      <c r="C150" s="1"/>
      <c r="D150" s="1"/>
      <c r="E150" s="1"/>
      <c r="F150" s="1"/>
    </row>
    <row r="151" spans="2:6" x14ac:dyDescent="0.25">
      <c r="B151" s="1" t="s">
        <v>317</v>
      </c>
      <c r="C151" s="1" t="s">
        <v>256</v>
      </c>
      <c r="D151" s="1">
        <v>3</v>
      </c>
      <c r="E151" s="1">
        <v>180</v>
      </c>
      <c r="F151" s="24">
        <f>E151/3223.5*1000/12</f>
        <v>4.6533271288971614</v>
      </c>
    </row>
    <row r="152" spans="2:6" x14ac:dyDescent="0.25">
      <c r="B152" s="1"/>
      <c r="C152" s="1"/>
      <c r="D152" s="1"/>
      <c r="E152" s="1"/>
      <c r="F152" s="24"/>
    </row>
    <row r="153" spans="2:6" x14ac:dyDescent="0.25">
      <c r="B153" s="1" t="s">
        <v>319</v>
      </c>
      <c r="C153" s="1" t="s">
        <v>261</v>
      </c>
      <c r="D153" s="1">
        <v>70</v>
      </c>
      <c r="E153" s="1">
        <v>91</v>
      </c>
      <c r="F153" s="24">
        <f t="shared" ref="F152:F163" si="3">E153/3223.5*1000/12</f>
        <v>2.3525153818313425</v>
      </c>
    </row>
    <row r="154" spans="2:6" x14ac:dyDescent="0.25">
      <c r="B154" s="1" t="s">
        <v>320</v>
      </c>
      <c r="C154" s="1" t="s">
        <v>261</v>
      </c>
      <c r="D154" s="1">
        <v>60</v>
      </c>
      <c r="E154" s="1">
        <v>114</v>
      </c>
      <c r="F154" s="24">
        <f t="shared" si="3"/>
        <v>2.9471071816348693</v>
      </c>
    </row>
    <row r="155" spans="2:6" x14ac:dyDescent="0.25">
      <c r="B155" s="1" t="s">
        <v>325</v>
      </c>
      <c r="C155" s="1" t="s">
        <v>261</v>
      </c>
      <c r="D155" s="1">
        <v>100</v>
      </c>
      <c r="E155" s="1">
        <v>190</v>
      </c>
      <c r="F155" s="24">
        <f t="shared" si="3"/>
        <v>4.9118453027247808</v>
      </c>
    </row>
    <row r="156" spans="2:6" x14ac:dyDescent="0.25">
      <c r="B156" s="1" t="s">
        <v>343</v>
      </c>
      <c r="C156" s="1" t="s">
        <v>256</v>
      </c>
      <c r="D156" s="1">
        <v>4</v>
      </c>
      <c r="E156" s="1">
        <v>600</v>
      </c>
      <c r="F156" s="24">
        <f t="shared" si="3"/>
        <v>15.511090429657203</v>
      </c>
    </row>
    <row r="157" spans="2:6" x14ac:dyDescent="0.25">
      <c r="B157" s="1" t="s">
        <v>322</v>
      </c>
      <c r="C157" s="1" t="s">
        <v>261</v>
      </c>
      <c r="D157" s="1">
        <v>300</v>
      </c>
      <c r="E157" s="1">
        <v>360</v>
      </c>
      <c r="F157" s="24">
        <f t="shared" si="3"/>
        <v>9.3066542577943228</v>
      </c>
    </row>
    <row r="158" spans="2:6" x14ac:dyDescent="0.25">
      <c r="B158" s="1" t="s">
        <v>323</v>
      </c>
      <c r="C158" s="1" t="s">
        <v>261</v>
      </c>
      <c r="D158" s="1">
        <v>1100</v>
      </c>
      <c r="E158" s="1">
        <v>1100</v>
      </c>
      <c r="F158" s="24">
        <f t="shared" si="3"/>
        <v>28.436999121038209</v>
      </c>
    </row>
    <row r="159" spans="2:6" x14ac:dyDescent="0.25">
      <c r="B159" s="1"/>
      <c r="C159" s="1"/>
      <c r="D159" s="1"/>
      <c r="E159" s="1"/>
      <c r="F159" s="24">
        <f t="shared" si="3"/>
        <v>0</v>
      </c>
    </row>
    <row r="160" spans="2:6" x14ac:dyDescent="0.25">
      <c r="B160" s="1"/>
      <c r="C160" s="1"/>
      <c r="D160" s="1"/>
      <c r="E160" s="1"/>
      <c r="F160" s="24">
        <f t="shared" si="3"/>
        <v>0</v>
      </c>
    </row>
    <row r="161" spans="2:6" x14ac:dyDescent="0.25">
      <c r="B161" s="1"/>
      <c r="C161" s="1"/>
      <c r="D161" s="1"/>
      <c r="E161" s="1"/>
      <c r="F161" s="24">
        <f t="shared" si="3"/>
        <v>0</v>
      </c>
    </row>
    <row r="162" spans="2:6" x14ac:dyDescent="0.25">
      <c r="B162" s="1"/>
      <c r="C162" s="1"/>
      <c r="D162" s="1"/>
      <c r="E162" s="1"/>
      <c r="F162" s="24">
        <f t="shared" si="3"/>
        <v>0</v>
      </c>
    </row>
    <row r="163" spans="2:6" x14ac:dyDescent="0.25">
      <c r="B163" s="1"/>
      <c r="C163" s="1"/>
      <c r="D163" s="1"/>
      <c r="E163" s="1"/>
      <c r="F163" s="24">
        <f t="shared" si="3"/>
        <v>0</v>
      </c>
    </row>
    <row r="164" spans="2:6" x14ac:dyDescent="0.25">
      <c r="B164" s="10" t="s">
        <v>20</v>
      </c>
      <c r="C164" s="1"/>
      <c r="D164" s="1"/>
      <c r="E164" s="4">
        <f>SUM(E151:E163)</f>
        <v>2635</v>
      </c>
      <c r="F164" s="22">
        <f>SUM(F151:F163)</f>
        <v>68.119538803577882</v>
      </c>
    </row>
    <row r="165" spans="2:6" x14ac:dyDescent="0.25">
      <c r="B165" s="4" t="s">
        <v>22</v>
      </c>
      <c r="C165" s="6"/>
      <c r="D165" s="6"/>
      <c r="E165" s="6"/>
      <c r="F165" s="23">
        <f>F149+F164</f>
        <v>85.109538803577877</v>
      </c>
    </row>
    <row r="166" spans="2:6" x14ac:dyDescent="0.25">
      <c r="B166" s="7"/>
      <c r="C166" s="7"/>
      <c r="D166" s="7"/>
      <c r="E166" s="7"/>
      <c r="F166" s="7"/>
    </row>
    <row r="167" spans="2:6" x14ac:dyDescent="0.25">
      <c r="B167" s="13"/>
      <c r="C167" s="13"/>
      <c r="D167" s="13"/>
      <c r="E167" s="13"/>
      <c r="F167" s="13"/>
    </row>
    <row r="168" spans="2:6" x14ac:dyDescent="0.25">
      <c r="B168" s="13"/>
      <c r="C168" s="13"/>
      <c r="D168" s="13"/>
      <c r="E168" s="13"/>
      <c r="F168" s="13"/>
    </row>
    <row r="169" spans="2:6" x14ac:dyDescent="0.25">
      <c r="B169" s="39" t="s">
        <v>23</v>
      </c>
      <c r="C169" s="38"/>
      <c r="D169" s="38"/>
      <c r="E169" s="39" t="s">
        <v>24</v>
      </c>
      <c r="F169" s="38"/>
    </row>
    <row r="171" spans="2:6" ht="40.15" customHeight="1" x14ac:dyDescent="0.25">
      <c r="B171" s="37" t="s">
        <v>149</v>
      </c>
      <c r="C171" s="37"/>
      <c r="D171" s="37"/>
      <c r="E171" s="37"/>
      <c r="F171" s="37"/>
    </row>
    <row r="172" spans="2:6" ht="29.45" customHeight="1" x14ac:dyDescent="0.25">
      <c r="B172" s="37" t="s">
        <v>1</v>
      </c>
      <c r="C172" s="37"/>
      <c r="D172" s="37"/>
      <c r="E172" s="37"/>
      <c r="F172" s="37"/>
    </row>
    <row r="173" spans="2:6" x14ac:dyDescent="0.25">
      <c r="B173" s="14" t="s">
        <v>0</v>
      </c>
      <c r="C173" s="14"/>
      <c r="D173" s="14"/>
      <c r="E173" s="14"/>
      <c r="F173" s="14"/>
    </row>
    <row r="174" spans="2:6" x14ac:dyDescent="0.25">
      <c r="B174" s="12"/>
      <c r="C174" s="38" t="s">
        <v>25</v>
      </c>
      <c r="D174" s="38"/>
      <c r="E174" s="12">
        <v>4138.1000000000004</v>
      </c>
      <c r="F174" s="12" t="s">
        <v>26</v>
      </c>
    </row>
    <row r="176" spans="2:6" ht="60" x14ac:dyDescent="0.25">
      <c r="B176" s="1" t="s">
        <v>2</v>
      </c>
      <c r="C176" s="1" t="s">
        <v>4</v>
      </c>
      <c r="D176" s="1" t="s">
        <v>3</v>
      </c>
      <c r="E176" s="1" t="s">
        <v>447</v>
      </c>
      <c r="F176" s="1" t="s">
        <v>5</v>
      </c>
    </row>
    <row r="177" spans="2:6" x14ac:dyDescent="0.25">
      <c r="B177" s="1"/>
      <c r="C177" s="1"/>
      <c r="D177" s="1"/>
      <c r="E177" s="1"/>
      <c r="F177" s="1"/>
    </row>
    <row r="178" spans="2:6" x14ac:dyDescent="0.25">
      <c r="B178" s="3" t="s">
        <v>6</v>
      </c>
      <c r="C178" s="1"/>
      <c r="D178" s="1"/>
      <c r="E178" s="1"/>
      <c r="F178" s="1"/>
    </row>
    <row r="179" spans="2:6" x14ac:dyDescent="0.25">
      <c r="B179" s="5" t="s">
        <v>7</v>
      </c>
      <c r="C179" s="1"/>
      <c r="D179" s="1"/>
      <c r="E179" s="1"/>
      <c r="F179" s="5">
        <v>2.0099999999999998</v>
      </c>
    </row>
    <row r="180" spans="2:6" x14ac:dyDescent="0.25">
      <c r="B180" s="5" t="s">
        <v>8</v>
      </c>
      <c r="C180" s="1"/>
      <c r="D180" s="1"/>
      <c r="E180" s="1"/>
      <c r="F180" s="5">
        <v>5.34</v>
      </c>
    </row>
    <row r="181" spans="2:6" ht="24.75" x14ac:dyDescent="0.25">
      <c r="B181" s="5" t="s">
        <v>11</v>
      </c>
      <c r="C181" s="1"/>
      <c r="D181" s="1"/>
      <c r="E181" s="1"/>
      <c r="F181" s="5">
        <v>0.55000000000000004</v>
      </c>
    </row>
    <row r="182" spans="2:6" ht="24.75" x14ac:dyDescent="0.25">
      <c r="B182" s="5" t="s">
        <v>12</v>
      </c>
      <c r="C182" s="1"/>
      <c r="D182" s="1"/>
      <c r="E182" s="1"/>
      <c r="F182" s="5">
        <v>0.53</v>
      </c>
    </row>
    <row r="183" spans="2:6" ht="24.75" x14ac:dyDescent="0.25">
      <c r="B183" s="5" t="s">
        <v>13</v>
      </c>
      <c r="C183" s="1"/>
      <c r="D183" s="1"/>
      <c r="E183" s="1"/>
      <c r="F183" s="5">
        <v>0.19</v>
      </c>
    </row>
    <row r="184" spans="2:6" ht="24.75" x14ac:dyDescent="0.25">
      <c r="B184" s="5" t="s">
        <v>14</v>
      </c>
      <c r="C184" s="1"/>
      <c r="D184" s="1"/>
      <c r="E184" s="1"/>
      <c r="F184" s="5">
        <v>1.25</v>
      </c>
    </row>
    <row r="185" spans="2:6" ht="24.75" x14ac:dyDescent="0.25">
      <c r="B185" s="5" t="s">
        <v>9</v>
      </c>
      <c r="C185" s="1"/>
      <c r="D185" s="1"/>
      <c r="E185" s="1"/>
      <c r="F185" s="5">
        <v>0.26</v>
      </c>
    </row>
    <row r="186" spans="2:6" ht="24.75" x14ac:dyDescent="0.25">
      <c r="B186" s="5" t="s">
        <v>15</v>
      </c>
      <c r="C186" s="1"/>
      <c r="D186" s="1"/>
      <c r="E186" s="1"/>
      <c r="F186" s="5">
        <v>0.27</v>
      </c>
    </row>
    <row r="187" spans="2:6" ht="24.75" x14ac:dyDescent="0.25">
      <c r="B187" s="5" t="s">
        <v>16</v>
      </c>
      <c r="C187" s="1"/>
      <c r="D187" s="1"/>
      <c r="E187" s="1"/>
      <c r="F187" s="5">
        <v>0.28999999999999998</v>
      </c>
    </row>
    <row r="188" spans="2:6" x14ac:dyDescent="0.25">
      <c r="B188" s="5" t="s">
        <v>17</v>
      </c>
      <c r="C188" s="1"/>
      <c r="D188" s="1"/>
      <c r="E188" s="1"/>
      <c r="F188" s="5">
        <v>0.32</v>
      </c>
    </row>
    <row r="189" spans="2:6" x14ac:dyDescent="0.25">
      <c r="B189" s="5" t="s">
        <v>18</v>
      </c>
      <c r="C189" s="1"/>
      <c r="D189" s="1"/>
      <c r="E189" s="1"/>
      <c r="F189" s="5">
        <v>1.97</v>
      </c>
    </row>
    <row r="190" spans="2:6" x14ac:dyDescent="0.25">
      <c r="B190" s="5" t="s">
        <v>19</v>
      </c>
      <c r="C190" s="1"/>
      <c r="D190" s="1"/>
      <c r="E190" s="1"/>
      <c r="F190" s="5">
        <v>3.95</v>
      </c>
    </row>
    <row r="191" spans="2:6" x14ac:dyDescent="0.25">
      <c r="B191" s="10" t="s">
        <v>20</v>
      </c>
      <c r="C191" s="1"/>
      <c r="D191" s="1"/>
      <c r="E191" s="1"/>
      <c r="F191" s="4">
        <f>SUM(F179:F190)</f>
        <v>16.93</v>
      </c>
    </row>
    <row r="192" spans="2:6" x14ac:dyDescent="0.25">
      <c r="B192" s="3" t="s">
        <v>21</v>
      </c>
      <c r="C192" s="1"/>
      <c r="D192" s="1"/>
      <c r="E192" s="1"/>
      <c r="F192" s="1"/>
    </row>
    <row r="193" spans="2:6" x14ac:dyDescent="0.25">
      <c r="B193" s="1" t="s">
        <v>317</v>
      </c>
      <c r="C193" s="1" t="s">
        <v>256</v>
      </c>
      <c r="D193" s="1">
        <v>1</v>
      </c>
      <c r="E193" s="1">
        <v>60</v>
      </c>
      <c r="F193" s="24">
        <f>E193/4138.1*1000/12</f>
        <v>1.2082839950702013</v>
      </c>
    </row>
    <row r="194" spans="2:6" x14ac:dyDescent="0.25">
      <c r="B194" s="1" t="s">
        <v>390</v>
      </c>
      <c r="C194" s="1" t="s">
        <v>261</v>
      </c>
      <c r="D194" s="1">
        <v>90</v>
      </c>
      <c r="E194" s="1">
        <v>117</v>
      </c>
      <c r="F194" s="24">
        <f t="shared" ref="F194:F205" si="4">E194/4138.1*1000/12</f>
        <v>2.3561537903868923</v>
      </c>
    </row>
    <row r="195" spans="2:6" x14ac:dyDescent="0.25">
      <c r="B195" s="1" t="s">
        <v>319</v>
      </c>
      <c r="C195" s="1" t="s">
        <v>261</v>
      </c>
      <c r="D195" s="1">
        <v>114</v>
      </c>
      <c r="E195" s="1">
        <v>148.19999999999999</v>
      </c>
      <c r="F195" s="24">
        <f t="shared" si="4"/>
        <v>2.9844614678233969</v>
      </c>
    </row>
    <row r="196" spans="2:6" x14ac:dyDescent="0.25">
      <c r="B196" s="1" t="s">
        <v>320</v>
      </c>
      <c r="C196" s="1" t="s">
        <v>261</v>
      </c>
      <c r="D196" s="1">
        <v>96</v>
      </c>
      <c r="E196" s="1">
        <v>182.4</v>
      </c>
      <c r="F196" s="24">
        <f t="shared" si="4"/>
        <v>3.6731833450134119</v>
      </c>
    </row>
    <row r="197" spans="2:6" x14ac:dyDescent="0.25">
      <c r="B197" s="1" t="s">
        <v>325</v>
      </c>
      <c r="C197" s="1" t="s">
        <v>261</v>
      </c>
      <c r="D197" s="1">
        <v>192</v>
      </c>
      <c r="E197" s="1">
        <v>364.8</v>
      </c>
      <c r="F197" s="24">
        <f t="shared" si="4"/>
        <v>7.3463666900268239</v>
      </c>
    </row>
    <row r="198" spans="2:6" x14ac:dyDescent="0.25">
      <c r="B198" s="1" t="s">
        <v>343</v>
      </c>
      <c r="C198" s="1" t="s">
        <v>256</v>
      </c>
      <c r="D198" s="1">
        <v>4</v>
      </c>
      <c r="E198" s="1">
        <v>600</v>
      </c>
      <c r="F198" s="24">
        <f t="shared" si="4"/>
        <v>12.082839950702011</v>
      </c>
    </row>
    <row r="199" spans="2:6" x14ac:dyDescent="0.25">
      <c r="B199" s="1" t="s">
        <v>322</v>
      </c>
      <c r="C199" s="1" t="s">
        <v>261</v>
      </c>
      <c r="D199" s="1">
        <v>300</v>
      </c>
      <c r="E199" s="1">
        <v>360</v>
      </c>
      <c r="F199" s="24">
        <f t="shared" si="4"/>
        <v>7.2497039704212076</v>
      </c>
    </row>
    <row r="200" spans="2:6" x14ac:dyDescent="0.25">
      <c r="B200" s="1" t="s">
        <v>323</v>
      </c>
      <c r="C200" s="1" t="s">
        <v>261</v>
      </c>
      <c r="D200" s="1">
        <v>1100</v>
      </c>
      <c r="E200" s="1">
        <v>1100</v>
      </c>
      <c r="F200" s="24">
        <f t="shared" si="4"/>
        <v>22.151873242953688</v>
      </c>
    </row>
    <row r="201" spans="2:6" x14ac:dyDescent="0.25">
      <c r="B201" s="1"/>
      <c r="C201" s="1"/>
      <c r="D201" s="1"/>
      <c r="E201" s="1"/>
      <c r="F201" s="24">
        <f t="shared" si="4"/>
        <v>0</v>
      </c>
    </row>
    <row r="202" spans="2:6" x14ac:dyDescent="0.25">
      <c r="B202" s="1"/>
      <c r="C202" s="1"/>
      <c r="D202" s="1"/>
      <c r="E202" s="1"/>
      <c r="F202" s="24">
        <f t="shared" si="4"/>
        <v>0</v>
      </c>
    </row>
    <row r="203" spans="2:6" x14ac:dyDescent="0.25">
      <c r="B203" s="1"/>
      <c r="C203" s="1"/>
      <c r="D203" s="1"/>
      <c r="E203" s="1"/>
      <c r="F203" s="24">
        <f t="shared" si="4"/>
        <v>0</v>
      </c>
    </row>
    <row r="204" spans="2:6" x14ac:dyDescent="0.25">
      <c r="B204" s="1"/>
      <c r="C204" s="1"/>
      <c r="D204" s="1"/>
      <c r="E204" s="1"/>
      <c r="F204" s="24">
        <f t="shared" si="4"/>
        <v>0</v>
      </c>
    </row>
    <row r="205" spans="2:6" x14ac:dyDescent="0.25">
      <c r="B205" s="1"/>
      <c r="C205" s="1"/>
      <c r="D205" s="1"/>
      <c r="E205" s="1"/>
      <c r="F205" s="24">
        <f t="shared" si="4"/>
        <v>0</v>
      </c>
    </row>
    <row r="206" spans="2:6" x14ac:dyDescent="0.25">
      <c r="B206" s="10" t="s">
        <v>20</v>
      </c>
      <c r="C206" s="1"/>
      <c r="D206" s="1"/>
      <c r="E206" s="4">
        <f>SUM(E193:E205)</f>
        <v>2932.4</v>
      </c>
      <c r="F206" s="22">
        <f>SUM(F193:F205)</f>
        <v>59.052866452397637</v>
      </c>
    </row>
    <row r="207" spans="2:6" x14ac:dyDescent="0.25">
      <c r="B207" s="4" t="s">
        <v>22</v>
      </c>
      <c r="C207" s="6"/>
      <c r="D207" s="6"/>
      <c r="E207" s="6"/>
      <c r="F207" s="23">
        <f>F191+F206</f>
        <v>75.982866452397644</v>
      </c>
    </row>
    <row r="208" spans="2:6" x14ac:dyDescent="0.25">
      <c r="B208" s="7"/>
      <c r="C208" s="7"/>
      <c r="D208" s="7"/>
      <c r="E208" s="7"/>
      <c r="F208" s="7"/>
    </row>
    <row r="209" spans="2:6" x14ac:dyDescent="0.25">
      <c r="B209" s="13"/>
      <c r="C209" s="13"/>
      <c r="D209" s="13"/>
      <c r="E209" s="13"/>
      <c r="F209" s="13"/>
    </row>
    <row r="210" spans="2:6" x14ac:dyDescent="0.25">
      <c r="B210" s="13"/>
      <c r="C210" s="13"/>
      <c r="D210" s="13"/>
      <c r="E210" s="13"/>
      <c r="F210" s="13"/>
    </row>
    <row r="211" spans="2:6" x14ac:dyDescent="0.25">
      <c r="B211" s="39" t="s">
        <v>23</v>
      </c>
      <c r="C211" s="38"/>
      <c r="D211" s="38"/>
      <c r="E211" s="39" t="s">
        <v>24</v>
      </c>
      <c r="F211" s="38"/>
    </row>
    <row r="213" spans="2:6" ht="32.450000000000003" customHeight="1" x14ac:dyDescent="0.25">
      <c r="B213" s="37" t="s">
        <v>150</v>
      </c>
      <c r="C213" s="37"/>
      <c r="D213" s="37"/>
      <c r="E213" s="37"/>
      <c r="F213" s="37"/>
    </row>
    <row r="214" spans="2:6" ht="30" customHeight="1" x14ac:dyDescent="0.25">
      <c r="B214" s="37" t="s">
        <v>1</v>
      </c>
      <c r="C214" s="37"/>
      <c r="D214" s="37"/>
      <c r="E214" s="37"/>
      <c r="F214" s="37"/>
    </row>
    <row r="215" spans="2:6" x14ac:dyDescent="0.25">
      <c r="B215" s="14" t="s">
        <v>0</v>
      </c>
      <c r="C215" s="14"/>
      <c r="D215" s="14"/>
      <c r="E215" s="14"/>
      <c r="F215" s="14"/>
    </row>
    <row r="216" spans="2:6" x14ac:dyDescent="0.25">
      <c r="B216" s="12"/>
      <c r="C216" s="38" t="s">
        <v>25</v>
      </c>
      <c r="D216" s="38"/>
      <c r="E216" s="12">
        <v>3279.3</v>
      </c>
      <c r="F216" s="12" t="s">
        <v>26</v>
      </c>
    </row>
    <row r="218" spans="2:6" ht="58.15" customHeight="1" x14ac:dyDescent="0.25">
      <c r="B218" s="1" t="s">
        <v>2</v>
      </c>
      <c r="C218" s="1" t="s">
        <v>4</v>
      </c>
      <c r="D218" s="1" t="s">
        <v>3</v>
      </c>
      <c r="E218" s="1" t="s">
        <v>447</v>
      </c>
      <c r="F218" s="1" t="s">
        <v>5</v>
      </c>
    </row>
    <row r="219" spans="2:6" x14ac:dyDescent="0.25">
      <c r="B219" s="1"/>
      <c r="C219" s="1"/>
      <c r="D219" s="1"/>
      <c r="E219" s="1"/>
      <c r="F219" s="1"/>
    </row>
    <row r="220" spans="2:6" x14ac:dyDescent="0.25">
      <c r="B220" s="3" t="s">
        <v>6</v>
      </c>
      <c r="C220" s="1"/>
      <c r="D220" s="1"/>
      <c r="E220" s="1"/>
      <c r="F220" s="1"/>
    </row>
    <row r="221" spans="2:6" x14ac:dyDescent="0.25">
      <c r="B221" s="5" t="s">
        <v>7</v>
      </c>
      <c r="C221" s="1"/>
      <c r="D221" s="1"/>
      <c r="E221" s="1"/>
      <c r="F221" s="5">
        <v>2.0099999999999998</v>
      </c>
    </row>
    <row r="222" spans="2:6" x14ac:dyDescent="0.25">
      <c r="B222" s="5" t="s">
        <v>8</v>
      </c>
      <c r="C222" s="1"/>
      <c r="D222" s="1"/>
      <c r="E222" s="1"/>
      <c r="F222" s="5">
        <v>5.34</v>
      </c>
    </row>
    <row r="223" spans="2:6" x14ac:dyDescent="0.25">
      <c r="B223" s="15" t="s">
        <v>30</v>
      </c>
      <c r="C223" s="1"/>
      <c r="D223" s="1"/>
      <c r="E223" s="1"/>
      <c r="F223" s="5">
        <v>0.06</v>
      </c>
    </row>
    <row r="224" spans="2:6" ht="24.75" x14ac:dyDescent="0.25">
      <c r="B224" s="5" t="s">
        <v>11</v>
      </c>
      <c r="C224" s="1"/>
      <c r="D224" s="1"/>
      <c r="E224" s="1"/>
      <c r="F224" s="5">
        <v>0.55000000000000004</v>
      </c>
    </row>
    <row r="225" spans="2:6" ht="24.75" x14ac:dyDescent="0.25">
      <c r="B225" s="5" t="s">
        <v>12</v>
      </c>
      <c r="C225" s="1"/>
      <c r="D225" s="1"/>
      <c r="E225" s="1"/>
      <c r="F225" s="5">
        <v>0.53</v>
      </c>
    </row>
    <row r="226" spans="2:6" ht="24.75" x14ac:dyDescent="0.25">
      <c r="B226" s="5" t="s">
        <v>13</v>
      </c>
      <c r="C226" s="1"/>
      <c r="D226" s="1"/>
      <c r="E226" s="1"/>
      <c r="F226" s="5">
        <v>0.19</v>
      </c>
    </row>
    <row r="227" spans="2:6" ht="24.75" x14ac:dyDescent="0.25">
      <c r="B227" s="5" t="s">
        <v>14</v>
      </c>
      <c r="C227" s="1"/>
      <c r="D227" s="1"/>
      <c r="E227" s="1"/>
      <c r="F227" s="5">
        <v>1.25</v>
      </c>
    </row>
    <row r="228" spans="2:6" ht="24.75" x14ac:dyDescent="0.25">
      <c r="B228" s="5" t="s">
        <v>9</v>
      </c>
      <c r="C228" s="1"/>
      <c r="D228" s="1"/>
      <c r="E228" s="1"/>
      <c r="F228" s="5">
        <v>0.26</v>
      </c>
    </row>
    <row r="229" spans="2:6" ht="24.75" x14ac:dyDescent="0.25">
      <c r="B229" s="5" t="s">
        <v>15</v>
      </c>
      <c r="C229" s="1"/>
      <c r="D229" s="1"/>
      <c r="E229" s="1"/>
      <c r="F229" s="5">
        <v>0.27</v>
      </c>
    </row>
    <row r="230" spans="2:6" ht="24.75" x14ac:dyDescent="0.25">
      <c r="B230" s="5" t="s">
        <v>16</v>
      </c>
      <c r="C230" s="1"/>
      <c r="D230" s="1"/>
      <c r="E230" s="1"/>
      <c r="F230" s="5">
        <v>0.28999999999999998</v>
      </c>
    </row>
    <row r="231" spans="2:6" x14ac:dyDescent="0.25">
      <c r="B231" s="5" t="s">
        <v>17</v>
      </c>
      <c r="C231" s="1"/>
      <c r="D231" s="1"/>
      <c r="E231" s="1"/>
      <c r="F231" s="5">
        <v>0.32</v>
      </c>
    </row>
    <row r="232" spans="2:6" x14ac:dyDescent="0.25">
      <c r="B232" s="5" t="s">
        <v>18</v>
      </c>
      <c r="C232" s="1"/>
      <c r="D232" s="1"/>
      <c r="E232" s="1"/>
      <c r="F232" s="5">
        <v>1.97</v>
      </c>
    </row>
    <row r="233" spans="2:6" x14ac:dyDescent="0.25">
      <c r="B233" s="5" t="s">
        <v>19</v>
      </c>
      <c r="C233" s="1"/>
      <c r="D233" s="1"/>
      <c r="E233" s="1"/>
      <c r="F233" s="5">
        <v>3.95</v>
      </c>
    </row>
    <row r="234" spans="2:6" x14ac:dyDescent="0.25">
      <c r="B234" s="10" t="s">
        <v>20</v>
      </c>
      <c r="C234" s="1"/>
      <c r="D234" s="1"/>
      <c r="E234" s="1"/>
      <c r="F234" s="4">
        <f>SUM(F221:F233)</f>
        <v>16.989999999999998</v>
      </c>
    </row>
    <row r="235" spans="2:6" x14ac:dyDescent="0.25">
      <c r="B235" s="3" t="s">
        <v>21</v>
      </c>
      <c r="C235" s="1"/>
      <c r="D235" s="1"/>
      <c r="E235" s="1"/>
      <c r="F235" s="1"/>
    </row>
    <row r="236" spans="2:6" x14ac:dyDescent="0.25">
      <c r="B236" s="1" t="s">
        <v>317</v>
      </c>
      <c r="C236" s="1" t="s">
        <v>256</v>
      </c>
      <c r="D236" s="1">
        <v>2</v>
      </c>
      <c r="E236" s="1">
        <v>120</v>
      </c>
      <c r="F236" s="24">
        <f>E236/3279.3*1000/12</f>
        <v>3.0494312810660809</v>
      </c>
    </row>
    <row r="237" spans="2:6" x14ac:dyDescent="0.25">
      <c r="B237" s="1"/>
      <c r="C237" s="1"/>
      <c r="D237" s="1"/>
      <c r="E237" s="1"/>
      <c r="F237" s="24"/>
    </row>
    <row r="238" spans="2:6" x14ac:dyDescent="0.25">
      <c r="B238" s="1" t="s">
        <v>335</v>
      </c>
      <c r="C238" s="1" t="s">
        <v>26</v>
      </c>
      <c r="D238" s="1">
        <v>15</v>
      </c>
      <c r="E238" s="1">
        <v>9</v>
      </c>
      <c r="F238" s="24">
        <f t="shared" ref="F237:F248" si="5">E238/3279.3*1000/12</f>
        <v>0.2287073460799561</v>
      </c>
    </row>
    <row r="239" spans="2:6" x14ac:dyDescent="0.25">
      <c r="B239" s="1" t="s">
        <v>319</v>
      </c>
      <c r="C239" s="1" t="s">
        <v>261</v>
      </c>
      <c r="D239" s="1">
        <v>56</v>
      </c>
      <c r="E239" s="1">
        <v>72.8</v>
      </c>
      <c r="F239" s="24">
        <f t="shared" si="5"/>
        <v>1.8499883105134225</v>
      </c>
    </row>
    <row r="240" spans="2:6" x14ac:dyDescent="0.25">
      <c r="B240" s="1" t="s">
        <v>437</v>
      </c>
      <c r="C240" s="1" t="s">
        <v>261</v>
      </c>
      <c r="D240" s="1">
        <v>10</v>
      </c>
      <c r="E240" s="1">
        <v>5</v>
      </c>
      <c r="F240" s="24">
        <f t="shared" si="5"/>
        <v>0.12705963671108669</v>
      </c>
    </row>
    <row r="241" spans="2:6" x14ac:dyDescent="0.25">
      <c r="B241" s="1" t="s">
        <v>320</v>
      </c>
      <c r="C241" s="1" t="s">
        <v>261</v>
      </c>
      <c r="D241" s="1">
        <v>96</v>
      </c>
      <c r="E241" s="1">
        <v>182.4</v>
      </c>
      <c r="F241" s="24">
        <f t="shared" si="5"/>
        <v>4.6351355472204432</v>
      </c>
    </row>
    <row r="242" spans="2:6" x14ac:dyDescent="0.25">
      <c r="B242" s="1" t="s">
        <v>325</v>
      </c>
      <c r="C242" s="1" t="s">
        <v>261</v>
      </c>
      <c r="D242" s="1">
        <v>180</v>
      </c>
      <c r="E242" s="1">
        <v>342</v>
      </c>
      <c r="F242" s="24">
        <f t="shared" si="5"/>
        <v>8.690879151038331</v>
      </c>
    </row>
    <row r="243" spans="2:6" x14ac:dyDescent="0.25">
      <c r="B243" s="1" t="s">
        <v>343</v>
      </c>
      <c r="C243" s="1" t="s">
        <v>256</v>
      </c>
      <c r="D243" s="1">
        <v>4</v>
      </c>
      <c r="E243" s="1">
        <v>600</v>
      </c>
      <c r="F243" s="24">
        <f t="shared" si="5"/>
        <v>15.247156405330406</v>
      </c>
    </row>
    <row r="244" spans="2:6" x14ac:dyDescent="0.25">
      <c r="B244" s="1" t="s">
        <v>322</v>
      </c>
      <c r="C244" s="1" t="s">
        <v>261</v>
      </c>
      <c r="D244" s="1">
        <v>300</v>
      </c>
      <c r="E244" s="1">
        <v>360</v>
      </c>
      <c r="F244" s="24">
        <f t="shared" si="5"/>
        <v>9.1482938431982443</v>
      </c>
    </row>
    <row r="245" spans="2:6" x14ac:dyDescent="0.25">
      <c r="B245" s="1" t="s">
        <v>323</v>
      </c>
      <c r="C245" s="1" t="s">
        <v>261</v>
      </c>
      <c r="D245" s="1">
        <v>1100</v>
      </c>
      <c r="E245" s="1">
        <v>1100</v>
      </c>
      <c r="F245" s="24">
        <f t="shared" si="5"/>
        <v>27.953120076439077</v>
      </c>
    </row>
    <row r="246" spans="2:6" x14ac:dyDescent="0.25">
      <c r="B246" s="1"/>
      <c r="C246" s="1"/>
      <c r="D246" s="1"/>
      <c r="E246" s="1"/>
      <c r="F246" s="24">
        <f t="shared" si="5"/>
        <v>0</v>
      </c>
    </row>
    <row r="247" spans="2:6" x14ac:dyDescent="0.25">
      <c r="B247" s="1"/>
      <c r="C247" s="1"/>
      <c r="D247" s="1"/>
      <c r="E247" s="1"/>
      <c r="F247" s="24">
        <f t="shared" si="5"/>
        <v>0</v>
      </c>
    </row>
    <row r="248" spans="2:6" x14ac:dyDescent="0.25">
      <c r="B248" s="1"/>
      <c r="C248" s="1"/>
      <c r="D248" s="1"/>
      <c r="E248" s="1"/>
      <c r="F248" s="24">
        <f t="shared" si="5"/>
        <v>0</v>
      </c>
    </row>
    <row r="249" spans="2:6" x14ac:dyDescent="0.25">
      <c r="B249" s="10" t="s">
        <v>20</v>
      </c>
      <c r="C249" s="1"/>
      <c r="D249" s="1"/>
      <c r="E249" s="4">
        <f>SUM(E236:E248)</f>
        <v>2791.2</v>
      </c>
      <c r="F249" s="22">
        <f>SUM(F236:F248)</f>
        <v>70.929771597597053</v>
      </c>
    </row>
    <row r="250" spans="2:6" x14ac:dyDescent="0.25">
      <c r="B250" s="4" t="s">
        <v>22</v>
      </c>
      <c r="C250" s="6"/>
      <c r="D250" s="6"/>
      <c r="E250" s="6"/>
      <c r="F250" s="23">
        <f>F234+F249</f>
        <v>87.919771597597048</v>
      </c>
    </row>
    <row r="251" spans="2:6" x14ac:dyDescent="0.25">
      <c r="B251" s="7"/>
      <c r="C251" s="7"/>
      <c r="D251" s="7"/>
      <c r="E251" s="7"/>
      <c r="F251" s="7"/>
    </row>
    <row r="252" spans="2:6" x14ac:dyDescent="0.25">
      <c r="B252" s="13"/>
      <c r="C252" s="13"/>
      <c r="D252" s="13"/>
      <c r="E252" s="13"/>
      <c r="F252" s="13"/>
    </row>
    <row r="253" spans="2:6" x14ac:dyDescent="0.25">
      <c r="B253" s="13"/>
      <c r="C253" s="13"/>
      <c r="D253" s="13"/>
      <c r="E253" s="13"/>
      <c r="F253" s="13"/>
    </row>
    <row r="254" spans="2:6" x14ac:dyDescent="0.25">
      <c r="B254" s="39" t="s">
        <v>23</v>
      </c>
      <c r="C254" s="38"/>
      <c r="D254" s="38"/>
      <c r="E254" s="39" t="s">
        <v>24</v>
      </c>
      <c r="F254" s="38"/>
    </row>
    <row r="256" spans="2:6" ht="39" customHeight="1" x14ac:dyDescent="0.25">
      <c r="B256" s="37" t="s">
        <v>151</v>
      </c>
      <c r="C256" s="37"/>
      <c r="D256" s="37"/>
      <c r="E256" s="37"/>
      <c r="F256" s="37"/>
    </row>
    <row r="257" spans="2:6" ht="33" customHeight="1" x14ac:dyDescent="0.25">
      <c r="B257" s="37" t="s">
        <v>1</v>
      </c>
      <c r="C257" s="37"/>
      <c r="D257" s="37"/>
      <c r="E257" s="37"/>
      <c r="F257" s="37"/>
    </row>
    <row r="258" spans="2:6" x14ac:dyDescent="0.25">
      <c r="B258" s="14" t="s">
        <v>0</v>
      </c>
      <c r="C258" s="14"/>
      <c r="D258" s="14"/>
      <c r="E258" s="14"/>
      <c r="F258" s="14"/>
    </row>
    <row r="259" spans="2:6" x14ac:dyDescent="0.25">
      <c r="B259" s="12"/>
      <c r="C259" s="38" t="s">
        <v>25</v>
      </c>
      <c r="D259" s="38"/>
      <c r="E259" s="12">
        <v>4604.5</v>
      </c>
      <c r="F259" s="12" t="s">
        <v>26</v>
      </c>
    </row>
    <row r="261" spans="2:6" ht="60" x14ac:dyDescent="0.25">
      <c r="B261" s="1" t="s">
        <v>2</v>
      </c>
      <c r="C261" s="1" t="s">
        <v>4</v>
      </c>
      <c r="D261" s="1" t="s">
        <v>3</v>
      </c>
      <c r="E261" s="1" t="s">
        <v>447</v>
      </c>
      <c r="F261" s="1" t="s">
        <v>5</v>
      </c>
    </row>
    <row r="262" spans="2:6" x14ac:dyDescent="0.25">
      <c r="B262" s="1"/>
      <c r="C262" s="1"/>
      <c r="D262" s="1"/>
      <c r="E262" s="1"/>
      <c r="F262" s="1"/>
    </row>
    <row r="263" spans="2:6" x14ac:dyDescent="0.25">
      <c r="B263" s="3" t="s">
        <v>6</v>
      </c>
      <c r="C263" s="1"/>
      <c r="D263" s="1"/>
      <c r="E263" s="1"/>
      <c r="F263" s="1"/>
    </row>
    <row r="264" spans="2:6" x14ac:dyDescent="0.25">
      <c r="B264" s="5" t="s">
        <v>7</v>
      </c>
      <c r="C264" s="1"/>
      <c r="D264" s="1"/>
      <c r="E264" s="1"/>
      <c r="F264" s="5">
        <v>2.0099999999999998</v>
      </c>
    </row>
    <row r="265" spans="2:6" x14ac:dyDescent="0.25">
      <c r="B265" s="5" t="s">
        <v>8</v>
      </c>
      <c r="C265" s="1"/>
      <c r="D265" s="1"/>
      <c r="E265" s="1"/>
      <c r="F265" s="5">
        <v>5.34</v>
      </c>
    </row>
    <row r="266" spans="2:6" x14ac:dyDescent="0.25">
      <c r="B266" s="15" t="s">
        <v>30</v>
      </c>
      <c r="C266" s="1"/>
      <c r="D266" s="1"/>
      <c r="E266" s="1"/>
      <c r="F266" s="5">
        <v>0.06</v>
      </c>
    </row>
    <row r="267" spans="2:6" ht="24.75" x14ac:dyDescent="0.25">
      <c r="B267" s="5" t="s">
        <v>11</v>
      </c>
      <c r="C267" s="1"/>
      <c r="D267" s="1"/>
      <c r="E267" s="1"/>
      <c r="F267" s="5">
        <v>0.55000000000000004</v>
      </c>
    </row>
    <row r="268" spans="2:6" ht="24.75" x14ac:dyDescent="0.25">
      <c r="B268" s="5" t="s">
        <v>12</v>
      </c>
      <c r="C268" s="1"/>
      <c r="D268" s="1"/>
      <c r="E268" s="1"/>
      <c r="F268" s="5">
        <v>0.53</v>
      </c>
    </row>
    <row r="269" spans="2:6" ht="24.75" x14ac:dyDescent="0.25">
      <c r="B269" s="5" t="s">
        <v>13</v>
      </c>
      <c r="C269" s="1"/>
      <c r="D269" s="1"/>
      <c r="E269" s="1"/>
      <c r="F269" s="5">
        <v>0.19</v>
      </c>
    </row>
    <row r="270" spans="2:6" ht="24.75" x14ac:dyDescent="0.25">
      <c r="B270" s="5" t="s">
        <v>14</v>
      </c>
      <c r="C270" s="1"/>
      <c r="D270" s="1"/>
      <c r="E270" s="1"/>
      <c r="F270" s="5">
        <v>1.25</v>
      </c>
    </row>
    <row r="271" spans="2:6" ht="24.75" x14ac:dyDescent="0.25">
      <c r="B271" s="5" t="s">
        <v>9</v>
      </c>
      <c r="C271" s="1"/>
      <c r="D271" s="1"/>
      <c r="E271" s="1"/>
      <c r="F271" s="5">
        <v>0.26</v>
      </c>
    </row>
    <row r="272" spans="2:6" ht="24.75" x14ac:dyDescent="0.25">
      <c r="B272" s="5" t="s">
        <v>15</v>
      </c>
      <c r="C272" s="1"/>
      <c r="D272" s="1"/>
      <c r="E272" s="1"/>
      <c r="F272" s="5">
        <v>0.27</v>
      </c>
    </row>
    <row r="273" spans="2:6" ht="24.75" x14ac:dyDescent="0.25">
      <c r="B273" s="5" t="s">
        <v>16</v>
      </c>
      <c r="C273" s="1"/>
      <c r="D273" s="1"/>
      <c r="E273" s="1"/>
      <c r="F273" s="5">
        <v>0.28999999999999998</v>
      </c>
    </row>
    <row r="274" spans="2:6" x14ac:dyDescent="0.25">
      <c r="B274" s="5" t="s">
        <v>17</v>
      </c>
      <c r="C274" s="1"/>
      <c r="D274" s="1"/>
      <c r="E274" s="1"/>
      <c r="F274" s="5">
        <v>0.32</v>
      </c>
    </row>
    <row r="275" spans="2:6" x14ac:dyDescent="0.25">
      <c r="B275" s="5" t="s">
        <v>18</v>
      </c>
      <c r="C275" s="1"/>
      <c r="D275" s="1"/>
      <c r="E275" s="1"/>
      <c r="F275" s="5">
        <v>1.97</v>
      </c>
    </row>
    <row r="276" spans="2:6" x14ac:dyDescent="0.25">
      <c r="B276" s="5" t="s">
        <v>19</v>
      </c>
      <c r="C276" s="1"/>
      <c r="D276" s="1"/>
      <c r="E276" s="1"/>
      <c r="F276" s="5">
        <v>3.95</v>
      </c>
    </row>
    <row r="277" spans="2:6" x14ac:dyDescent="0.25">
      <c r="B277" s="10" t="s">
        <v>20</v>
      </c>
      <c r="C277" s="1"/>
      <c r="D277" s="1"/>
      <c r="E277" s="1"/>
      <c r="F277" s="4">
        <f>SUM(F264:F276)</f>
        <v>16.989999999999998</v>
      </c>
    </row>
    <row r="278" spans="2:6" x14ac:dyDescent="0.25">
      <c r="B278" s="3" t="s">
        <v>21</v>
      </c>
      <c r="C278" s="1"/>
      <c r="D278" s="1"/>
      <c r="E278" s="1"/>
      <c r="F278" s="1"/>
    </row>
    <row r="279" spans="2:6" x14ac:dyDescent="0.25">
      <c r="B279" s="1" t="s">
        <v>335</v>
      </c>
      <c r="C279" s="1" t="s">
        <v>26</v>
      </c>
      <c r="D279" s="1">
        <v>15</v>
      </c>
      <c r="E279" s="1">
        <v>9</v>
      </c>
      <c r="F279" s="24">
        <f>E279/4604.5*1000/12</f>
        <v>0.16288413508524269</v>
      </c>
    </row>
    <row r="280" spans="2:6" x14ac:dyDescent="0.25">
      <c r="B280" s="1" t="s">
        <v>319</v>
      </c>
      <c r="C280" s="1" t="s">
        <v>261</v>
      </c>
      <c r="D280" s="1">
        <v>52</v>
      </c>
      <c r="E280" s="1">
        <v>67.900000000000006</v>
      </c>
      <c r="F280" s="24">
        <f t="shared" ref="F280:F291" si="6">E280/4604.5*1000/12</f>
        <v>1.2288703080319976</v>
      </c>
    </row>
    <row r="281" spans="2:6" x14ac:dyDescent="0.25">
      <c r="B281" s="1" t="s">
        <v>325</v>
      </c>
      <c r="C281" s="1" t="s">
        <v>261</v>
      </c>
      <c r="D281" s="1">
        <v>240</v>
      </c>
      <c r="E281" s="1">
        <v>456</v>
      </c>
      <c r="F281" s="24">
        <f t="shared" si="6"/>
        <v>8.2527961776522964</v>
      </c>
    </row>
    <row r="282" spans="2:6" x14ac:dyDescent="0.25">
      <c r="B282" s="1" t="s">
        <v>343</v>
      </c>
      <c r="C282" s="1" t="s">
        <v>256</v>
      </c>
      <c r="D282" s="1">
        <v>6</v>
      </c>
      <c r="E282" s="1">
        <v>900</v>
      </c>
      <c r="F282" s="24">
        <f t="shared" si="6"/>
        <v>16.288413508524268</v>
      </c>
    </row>
    <row r="283" spans="2:6" x14ac:dyDescent="0.25">
      <c r="B283" s="1" t="s">
        <v>322</v>
      </c>
      <c r="C283" s="1" t="s">
        <v>261</v>
      </c>
      <c r="D283" s="1">
        <v>345</v>
      </c>
      <c r="E283" s="1">
        <v>414</v>
      </c>
      <c r="F283" s="24">
        <f t="shared" si="6"/>
        <v>7.4926702139211647</v>
      </c>
    </row>
    <row r="284" spans="2:6" x14ac:dyDescent="0.25">
      <c r="B284" s="1" t="s">
        <v>323</v>
      </c>
      <c r="C284" s="1" t="s">
        <v>261</v>
      </c>
      <c r="D284" s="1">
        <v>1100</v>
      </c>
      <c r="E284" s="1">
        <v>1100</v>
      </c>
      <c r="F284" s="24">
        <f t="shared" si="6"/>
        <v>19.908060954862997</v>
      </c>
    </row>
    <row r="285" spans="2:6" x14ac:dyDescent="0.25">
      <c r="B285" s="1"/>
      <c r="C285" s="1"/>
      <c r="D285" s="1"/>
      <c r="E285" s="1"/>
      <c r="F285" s="24">
        <f t="shared" si="6"/>
        <v>0</v>
      </c>
    </row>
    <row r="286" spans="2:6" x14ac:dyDescent="0.25">
      <c r="B286" s="1"/>
      <c r="C286" s="1"/>
      <c r="D286" s="1"/>
      <c r="E286" s="1"/>
      <c r="F286" s="24">
        <f t="shared" si="6"/>
        <v>0</v>
      </c>
    </row>
    <row r="287" spans="2:6" x14ac:dyDescent="0.25">
      <c r="B287" s="1"/>
      <c r="C287" s="1"/>
      <c r="D287" s="1"/>
      <c r="E287" s="1"/>
      <c r="F287" s="24">
        <f t="shared" si="6"/>
        <v>0</v>
      </c>
    </row>
    <row r="288" spans="2:6" x14ac:dyDescent="0.25">
      <c r="B288" s="1"/>
      <c r="C288" s="1"/>
      <c r="D288" s="1"/>
      <c r="E288" s="1"/>
      <c r="F288" s="24">
        <f t="shared" si="6"/>
        <v>0</v>
      </c>
    </row>
    <row r="289" spans="2:6" x14ac:dyDescent="0.25">
      <c r="B289" s="1"/>
      <c r="C289" s="1"/>
      <c r="D289" s="1"/>
      <c r="E289" s="1"/>
      <c r="F289" s="24">
        <f t="shared" si="6"/>
        <v>0</v>
      </c>
    </row>
    <row r="290" spans="2:6" x14ac:dyDescent="0.25">
      <c r="B290" s="1"/>
      <c r="C290" s="1"/>
      <c r="D290" s="1"/>
      <c r="E290" s="1"/>
      <c r="F290" s="24">
        <f t="shared" si="6"/>
        <v>0</v>
      </c>
    </row>
    <row r="291" spans="2:6" x14ac:dyDescent="0.25">
      <c r="B291" s="1"/>
      <c r="C291" s="1"/>
      <c r="D291" s="1"/>
      <c r="E291" s="1"/>
      <c r="F291" s="24">
        <f t="shared" si="6"/>
        <v>0</v>
      </c>
    </row>
    <row r="292" spans="2:6" x14ac:dyDescent="0.25">
      <c r="B292" s="10" t="s">
        <v>20</v>
      </c>
      <c r="C292" s="1"/>
      <c r="D292" s="1"/>
      <c r="E292" s="4">
        <f>SUM(E279:E291)</f>
        <v>2946.9</v>
      </c>
      <c r="F292" s="22">
        <f>SUM(F279:F291)</f>
        <v>53.333695298077963</v>
      </c>
    </row>
    <row r="293" spans="2:6" x14ac:dyDescent="0.25">
      <c r="B293" s="4" t="s">
        <v>22</v>
      </c>
      <c r="C293" s="6"/>
      <c r="D293" s="6"/>
      <c r="E293" s="6"/>
      <c r="F293" s="23">
        <f>F277+F292</f>
        <v>70.323695298077965</v>
      </c>
    </row>
    <row r="294" spans="2:6" x14ac:dyDescent="0.25">
      <c r="B294" s="7"/>
      <c r="C294" s="7"/>
      <c r="D294" s="7"/>
      <c r="E294" s="7"/>
      <c r="F294" s="7"/>
    </row>
    <row r="295" spans="2:6" x14ac:dyDescent="0.25">
      <c r="B295" s="13"/>
      <c r="C295" s="13"/>
      <c r="D295" s="13"/>
      <c r="E295" s="13"/>
      <c r="F295" s="13"/>
    </row>
    <row r="296" spans="2:6" x14ac:dyDescent="0.25">
      <c r="B296" s="13"/>
      <c r="C296" s="13"/>
      <c r="D296" s="13"/>
      <c r="E296" s="13"/>
      <c r="F296" s="13"/>
    </row>
    <row r="297" spans="2:6" x14ac:dyDescent="0.25">
      <c r="B297" s="39" t="s">
        <v>23</v>
      </c>
      <c r="C297" s="38"/>
      <c r="D297" s="38"/>
      <c r="E297" s="39" t="s">
        <v>24</v>
      </c>
      <c r="F297" s="38"/>
    </row>
    <row r="299" spans="2:6" ht="28.9" customHeight="1" x14ac:dyDescent="0.25">
      <c r="B299" s="37" t="s">
        <v>152</v>
      </c>
      <c r="C299" s="37"/>
      <c r="D299" s="37"/>
      <c r="E299" s="37"/>
      <c r="F299" s="37"/>
    </row>
    <row r="300" spans="2:6" ht="35.450000000000003" customHeight="1" x14ac:dyDescent="0.25">
      <c r="B300" s="37" t="s">
        <v>1</v>
      </c>
      <c r="C300" s="37"/>
      <c r="D300" s="37"/>
      <c r="E300" s="37"/>
      <c r="F300" s="37"/>
    </row>
    <row r="301" spans="2:6" x14ac:dyDescent="0.25">
      <c r="B301" s="14" t="s">
        <v>0</v>
      </c>
      <c r="C301" s="14"/>
      <c r="D301" s="14"/>
      <c r="E301" s="14"/>
      <c r="F301" s="14"/>
    </row>
    <row r="302" spans="2:6" x14ac:dyDescent="0.25">
      <c r="B302" s="12"/>
      <c r="C302" s="38" t="s">
        <v>25</v>
      </c>
      <c r="D302" s="38"/>
      <c r="E302" s="12">
        <v>3892.9</v>
      </c>
      <c r="F302" s="12" t="s">
        <v>26</v>
      </c>
    </row>
    <row r="304" spans="2:6" ht="60" x14ac:dyDescent="0.25">
      <c r="B304" s="1" t="s">
        <v>2</v>
      </c>
      <c r="C304" s="1" t="s">
        <v>4</v>
      </c>
      <c r="D304" s="1" t="s">
        <v>3</v>
      </c>
      <c r="E304" s="1" t="s">
        <v>447</v>
      </c>
      <c r="F304" s="1" t="s">
        <v>5</v>
      </c>
    </row>
    <row r="305" spans="2:6" x14ac:dyDescent="0.25">
      <c r="B305" s="1"/>
      <c r="C305" s="1"/>
      <c r="D305" s="1"/>
      <c r="E305" s="1"/>
      <c r="F305" s="1"/>
    </row>
    <row r="306" spans="2:6" x14ac:dyDescent="0.25">
      <c r="B306" s="3" t="s">
        <v>6</v>
      </c>
      <c r="C306" s="1"/>
      <c r="D306" s="1"/>
      <c r="E306" s="1"/>
      <c r="F306" s="1"/>
    </row>
    <row r="307" spans="2:6" x14ac:dyDescent="0.25">
      <c r="B307" s="5" t="s">
        <v>7</v>
      </c>
      <c r="C307" s="1"/>
      <c r="D307" s="1"/>
      <c r="E307" s="1"/>
      <c r="F307" s="5">
        <v>2.0099999999999998</v>
      </c>
    </row>
    <row r="308" spans="2:6" x14ac:dyDescent="0.25">
      <c r="B308" s="5" t="s">
        <v>8</v>
      </c>
      <c r="C308" s="1"/>
      <c r="D308" s="1"/>
      <c r="E308" s="1"/>
      <c r="F308" s="5">
        <v>5.34</v>
      </c>
    </row>
    <row r="309" spans="2:6" x14ac:dyDescent="0.25">
      <c r="B309" s="15" t="s">
        <v>30</v>
      </c>
      <c r="C309" s="1"/>
      <c r="D309" s="1"/>
      <c r="E309" s="1"/>
      <c r="F309" s="5">
        <v>0.06</v>
      </c>
    </row>
    <row r="310" spans="2:6" ht="24.75" x14ac:dyDescent="0.25">
      <c r="B310" s="5" t="s">
        <v>11</v>
      </c>
      <c r="C310" s="1"/>
      <c r="D310" s="1"/>
      <c r="E310" s="1"/>
      <c r="F310" s="5">
        <v>0.55000000000000004</v>
      </c>
    </row>
    <row r="311" spans="2:6" ht="24.75" x14ac:dyDescent="0.25">
      <c r="B311" s="5" t="s">
        <v>12</v>
      </c>
      <c r="C311" s="1"/>
      <c r="D311" s="1"/>
      <c r="E311" s="1"/>
      <c r="F311" s="5">
        <v>0.53</v>
      </c>
    </row>
    <row r="312" spans="2:6" ht="24.75" x14ac:dyDescent="0.25">
      <c r="B312" s="5" t="s">
        <v>13</v>
      </c>
      <c r="C312" s="1"/>
      <c r="D312" s="1"/>
      <c r="E312" s="1"/>
      <c r="F312" s="5">
        <v>0.19</v>
      </c>
    </row>
    <row r="313" spans="2:6" ht="24.75" x14ac:dyDescent="0.25">
      <c r="B313" s="5" t="s">
        <v>14</v>
      </c>
      <c r="C313" s="1"/>
      <c r="D313" s="1"/>
      <c r="E313" s="1"/>
      <c r="F313" s="5">
        <v>1.25</v>
      </c>
    </row>
    <row r="314" spans="2:6" ht="24.75" x14ac:dyDescent="0.25">
      <c r="B314" s="5" t="s">
        <v>9</v>
      </c>
      <c r="C314" s="1"/>
      <c r="D314" s="1"/>
      <c r="E314" s="1"/>
      <c r="F314" s="5">
        <v>0.26</v>
      </c>
    </row>
    <row r="315" spans="2:6" ht="24.75" x14ac:dyDescent="0.25">
      <c r="B315" s="5" t="s">
        <v>15</v>
      </c>
      <c r="C315" s="1"/>
      <c r="D315" s="1"/>
      <c r="E315" s="1"/>
      <c r="F315" s="5">
        <v>0.27</v>
      </c>
    </row>
    <row r="316" spans="2:6" ht="24.75" x14ac:dyDescent="0.25">
      <c r="B316" s="5" t="s">
        <v>16</v>
      </c>
      <c r="C316" s="1"/>
      <c r="D316" s="1"/>
      <c r="E316" s="1"/>
      <c r="F316" s="5">
        <v>0.28999999999999998</v>
      </c>
    </row>
    <row r="317" spans="2:6" x14ac:dyDescent="0.25">
      <c r="B317" s="5" t="s">
        <v>17</v>
      </c>
      <c r="C317" s="1"/>
      <c r="D317" s="1"/>
      <c r="E317" s="1"/>
      <c r="F317" s="5">
        <v>0.32</v>
      </c>
    </row>
    <row r="318" spans="2:6" x14ac:dyDescent="0.25">
      <c r="B318" s="5" t="s">
        <v>18</v>
      </c>
      <c r="C318" s="1"/>
      <c r="D318" s="1"/>
      <c r="E318" s="1"/>
      <c r="F318" s="5">
        <v>1.97</v>
      </c>
    </row>
    <row r="319" spans="2:6" x14ac:dyDescent="0.25">
      <c r="B319" s="5" t="s">
        <v>19</v>
      </c>
      <c r="C319" s="1"/>
      <c r="D319" s="1"/>
      <c r="E319" s="1"/>
      <c r="F319" s="5">
        <v>3.95</v>
      </c>
    </row>
    <row r="320" spans="2:6" x14ac:dyDescent="0.25">
      <c r="B320" s="10" t="s">
        <v>20</v>
      </c>
      <c r="C320" s="1"/>
      <c r="D320" s="1"/>
      <c r="E320" s="1"/>
      <c r="F320" s="4">
        <f>SUM(F307:F319)</f>
        <v>16.989999999999998</v>
      </c>
    </row>
    <row r="321" spans="2:6" x14ac:dyDescent="0.25">
      <c r="B321" s="3" t="s">
        <v>21</v>
      </c>
      <c r="C321" s="1"/>
      <c r="D321" s="1"/>
      <c r="E321" s="1"/>
      <c r="F321" s="1"/>
    </row>
    <row r="322" spans="2:6" x14ac:dyDescent="0.25">
      <c r="B322" s="1" t="s">
        <v>275</v>
      </c>
      <c r="C322" s="1" t="s">
        <v>26</v>
      </c>
      <c r="D322" s="1">
        <v>170</v>
      </c>
      <c r="E322" s="1">
        <v>255</v>
      </c>
      <c r="F322" s="24">
        <f>E322/3892.9*1000/12</f>
        <v>5.4586555010403552</v>
      </c>
    </row>
    <row r="323" spans="2:6" x14ac:dyDescent="0.25">
      <c r="B323" s="1" t="s">
        <v>319</v>
      </c>
      <c r="C323" s="1" t="s">
        <v>261</v>
      </c>
      <c r="D323" s="1">
        <v>80</v>
      </c>
      <c r="E323" s="1">
        <v>104</v>
      </c>
      <c r="F323" s="24">
        <f t="shared" ref="F323:F334" si="7">E323/3892.9*1000/12</f>
        <v>2.2262751847380273</v>
      </c>
    </row>
    <row r="324" spans="2:6" x14ac:dyDescent="0.25">
      <c r="B324" s="1" t="s">
        <v>320</v>
      </c>
      <c r="C324" s="1" t="s">
        <v>261</v>
      </c>
      <c r="D324" s="1">
        <v>100</v>
      </c>
      <c r="E324" s="1">
        <v>190</v>
      </c>
      <c r="F324" s="24">
        <f t="shared" si="7"/>
        <v>4.0672335105790882</v>
      </c>
    </row>
    <row r="325" spans="2:6" x14ac:dyDescent="0.25">
      <c r="B325" s="1" t="s">
        <v>325</v>
      </c>
      <c r="C325" s="1" t="s">
        <v>261</v>
      </c>
      <c r="D325" s="1">
        <v>200</v>
      </c>
      <c r="E325" s="1">
        <v>380</v>
      </c>
      <c r="F325" s="24">
        <f t="shared" si="7"/>
        <v>8.1344670211581764</v>
      </c>
    </row>
    <row r="326" spans="2:6" x14ac:dyDescent="0.25">
      <c r="B326" s="1" t="s">
        <v>343</v>
      </c>
      <c r="C326" s="1" t="s">
        <v>256</v>
      </c>
      <c r="D326" s="1">
        <v>6</v>
      </c>
      <c r="E326" s="1">
        <v>900</v>
      </c>
      <c r="F326" s="24">
        <f t="shared" si="7"/>
        <v>19.265842944848313</v>
      </c>
    </row>
    <row r="327" spans="2:6" x14ac:dyDescent="0.25">
      <c r="B327" s="1" t="s">
        <v>439</v>
      </c>
      <c r="C327" s="1" t="s">
        <v>265</v>
      </c>
      <c r="D327" s="1">
        <v>1</v>
      </c>
      <c r="E327" s="1">
        <v>5</v>
      </c>
      <c r="F327" s="24">
        <f t="shared" si="7"/>
        <v>0.10703246080471285</v>
      </c>
    </row>
    <row r="328" spans="2:6" x14ac:dyDescent="0.25">
      <c r="B328" s="1"/>
      <c r="C328" s="1"/>
      <c r="D328" s="1"/>
      <c r="E328" s="1"/>
      <c r="F328" s="24">
        <f t="shared" si="7"/>
        <v>0</v>
      </c>
    </row>
    <row r="329" spans="2:6" x14ac:dyDescent="0.25">
      <c r="B329" s="1"/>
      <c r="C329" s="1"/>
      <c r="D329" s="1"/>
      <c r="E329" s="1"/>
      <c r="F329" s="24">
        <f t="shared" si="7"/>
        <v>0</v>
      </c>
    </row>
    <row r="330" spans="2:6" x14ac:dyDescent="0.25">
      <c r="B330" s="1"/>
      <c r="C330" s="1"/>
      <c r="D330" s="1"/>
      <c r="E330" s="1"/>
      <c r="F330" s="24">
        <f t="shared" si="7"/>
        <v>0</v>
      </c>
    </row>
    <row r="331" spans="2:6" x14ac:dyDescent="0.25">
      <c r="B331" s="1"/>
      <c r="C331" s="1"/>
      <c r="D331" s="1"/>
      <c r="E331" s="1"/>
      <c r="F331" s="24">
        <f t="shared" si="7"/>
        <v>0</v>
      </c>
    </row>
    <row r="332" spans="2:6" x14ac:dyDescent="0.25">
      <c r="B332" s="1"/>
      <c r="C332" s="1"/>
      <c r="D332" s="1"/>
      <c r="E332" s="1"/>
      <c r="F332" s="24">
        <f t="shared" si="7"/>
        <v>0</v>
      </c>
    </row>
    <row r="333" spans="2:6" x14ac:dyDescent="0.25">
      <c r="B333" s="1"/>
      <c r="C333" s="1"/>
      <c r="D333" s="1"/>
      <c r="E333" s="1"/>
      <c r="F333" s="24">
        <f t="shared" si="7"/>
        <v>0</v>
      </c>
    </row>
    <row r="334" spans="2:6" x14ac:dyDescent="0.25">
      <c r="B334" s="1"/>
      <c r="C334" s="1"/>
      <c r="D334" s="1"/>
      <c r="E334" s="1"/>
      <c r="F334" s="24">
        <f t="shared" si="7"/>
        <v>0</v>
      </c>
    </row>
    <row r="335" spans="2:6" x14ac:dyDescent="0.25">
      <c r="B335" s="10" t="s">
        <v>20</v>
      </c>
      <c r="C335" s="1"/>
      <c r="D335" s="1"/>
      <c r="E335" s="4">
        <f>SUM(E322:E334)</f>
        <v>1834</v>
      </c>
      <c r="F335" s="22">
        <f>SUM(F322:F334)</f>
        <v>39.259506623168669</v>
      </c>
    </row>
    <row r="336" spans="2:6" x14ac:dyDescent="0.25">
      <c r="B336" s="4" t="s">
        <v>22</v>
      </c>
      <c r="C336" s="6"/>
      <c r="D336" s="6"/>
      <c r="E336" s="6"/>
      <c r="F336" s="23">
        <f>F320+F335</f>
        <v>56.249506623168671</v>
      </c>
    </row>
    <row r="337" spans="2:6" x14ac:dyDescent="0.25">
      <c r="B337" s="7"/>
      <c r="C337" s="7"/>
      <c r="D337" s="7"/>
      <c r="E337" s="7"/>
      <c r="F337" s="7"/>
    </row>
    <row r="338" spans="2:6" x14ac:dyDescent="0.25">
      <c r="B338" s="13"/>
      <c r="C338" s="13"/>
      <c r="D338" s="13"/>
      <c r="E338" s="13"/>
      <c r="F338" s="13"/>
    </row>
    <row r="339" spans="2:6" x14ac:dyDescent="0.25">
      <c r="B339" s="13"/>
      <c r="C339" s="13"/>
      <c r="D339" s="13"/>
      <c r="E339" s="13"/>
      <c r="F339" s="13"/>
    </row>
    <row r="340" spans="2:6" x14ac:dyDescent="0.25">
      <c r="B340" s="39" t="s">
        <v>23</v>
      </c>
      <c r="C340" s="38"/>
      <c r="D340" s="38"/>
      <c r="E340" s="39" t="s">
        <v>24</v>
      </c>
      <c r="F340" s="38"/>
    </row>
    <row r="342" spans="2:6" ht="32.450000000000003" customHeight="1" x14ac:dyDescent="0.25">
      <c r="B342" s="37" t="s">
        <v>153</v>
      </c>
      <c r="C342" s="37"/>
      <c r="D342" s="37"/>
      <c r="E342" s="37"/>
      <c r="F342" s="37"/>
    </row>
    <row r="343" spans="2:6" ht="32.450000000000003" customHeight="1" x14ac:dyDescent="0.25">
      <c r="B343" s="37" t="s">
        <v>1</v>
      </c>
      <c r="C343" s="37"/>
      <c r="D343" s="37"/>
      <c r="E343" s="37"/>
      <c r="F343" s="37"/>
    </row>
    <row r="344" spans="2:6" x14ac:dyDescent="0.25">
      <c r="B344" s="14" t="s">
        <v>0</v>
      </c>
      <c r="C344" s="14"/>
      <c r="D344" s="14"/>
      <c r="E344" s="14"/>
      <c r="F344" s="14"/>
    </row>
    <row r="345" spans="2:6" x14ac:dyDescent="0.25">
      <c r="B345" s="12"/>
      <c r="C345" s="38" t="s">
        <v>25</v>
      </c>
      <c r="D345" s="38"/>
      <c r="E345" s="12">
        <v>3317.7</v>
      </c>
      <c r="F345" s="12" t="s">
        <v>26</v>
      </c>
    </row>
    <row r="347" spans="2:6" ht="60" x14ac:dyDescent="0.25">
      <c r="B347" s="1" t="s">
        <v>2</v>
      </c>
      <c r="C347" s="1" t="s">
        <v>4</v>
      </c>
      <c r="D347" s="1" t="s">
        <v>3</v>
      </c>
      <c r="E347" s="1" t="s">
        <v>447</v>
      </c>
      <c r="F347" s="1" t="s">
        <v>5</v>
      </c>
    </row>
    <row r="348" spans="2:6" x14ac:dyDescent="0.25">
      <c r="B348" s="1"/>
      <c r="C348" s="1"/>
      <c r="D348" s="1"/>
      <c r="E348" s="1"/>
      <c r="F348" s="1"/>
    </row>
    <row r="349" spans="2:6" x14ac:dyDescent="0.25">
      <c r="B349" s="3" t="s">
        <v>6</v>
      </c>
      <c r="C349" s="1"/>
      <c r="D349" s="1"/>
      <c r="E349" s="1"/>
      <c r="F349" s="1"/>
    </row>
    <row r="350" spans="2:6" x14ac:dyDescent="0.25">
      <c r="B350" s="5" t="s">
        <v>7</v>
      </c>
      <c r="C350" s="1"/>
      <c r="D350" s="1"/>
      <c r="E350" s="1"/>
      <c r="F350" s="5">
        <v>2.0099999999999998</v>
      </c>
    </row>
    <row r="351" spans="2:6" x14ac:dyDescent="0.25">
      <c r="B351" s="5" t="s">
        <v>8</v>
      </c>
      <c r="C351" s="1"/>
      <c r="D351" s="1"/>
      <c r="E351" s="1"/>
      <c r="F351" s="5">
        <v>5.34</v>
      </c>
    </row>
    <row r="352" spans="2:6" x14ac:dyDescent="0.25">
      <c r="B352" s="15" t="s">
        <v>30</v>
      </c>
      <c r="C352" s="1"/>
      <c r="D352" s="1"/>
      <c r="E352" s="1"/>
      <c r="F352" s="5">
        <v>0.06</v>
      </c>
    </row>
    <row r="353" spans="2:6" ht="24.75" x14ac:dyDescent="0.25">
      <c r="B353" s="5" t="s">
        <v>11</v>
      </c>
      <c r="C353" s="1"/>
      <c r="D353" s="1"/>
      <c r="E353" s="1"/>
      <c r="F353" s="5">
        <v>0.55000000000000004</v>
      </c>
    </row>
    <row r="354" spans="2:6" ht="24.75" x14ac:dyDescent="0.25">
      <c r="B354" s="5" t="s">
        <v>12</v>
      </c>
      <c r="C354" s="1"/>
      <c r="D354" s="1"/>
      <c r="E354" s="1"/>
      <c r="F354" s="5">
        <v>0.53</v>
      </c>
    </row>
    <row r="355" spans="2:6" ht="24.75" x14ac:dyDescent="0.25">
      <c r="B355" s="5" t="s">
        <v>13</v>
      </c>
      <c r="C355" s="1"/>
      <c r="D355" s="1"/>
      <c r="E355" s="1"/>
      <c r="F355" s="5">
        <v>0.19</v>
      </c>
    </row>
    <row r="356" spans="2:6" ht="24.75" x14ac:dyDescent="0.25">
      <c r="B356" s="5" t="s">
        <v>14</v>
      </c>
      <c r="C356" s="1"/>
      <c r="D356" s="1"/>
      <c r="E356" s="1"/>
      <c r="F356" s="5">
        <v>1.25</v>
      </c>
    </row>
    <row r="357" spans="2:6" ht="24.75" x14ac:dyDescent="0.25">
      <c r="B357" s="5" t="s">
        <v>9</v>
      </c>
      <c r="C357" s="1"/>
      <c r="D357" s="1"/>
      <c r="E357" s="1"/>
      <c r="F357" s="5">
        <v>0.26</v>
      </c>
    </row>
    <row r="358" spans="2:6" ht="24.75" x14ac:dyDescent="0.25">
      <c r="B358" s="5" t="s">
        <v>15</v>
      </c>
      <c r="C358" s="1"/>
      <c r="D358" s="1"/>
      <c r="E358" s="1"/>
      <c r="F358" s="5">
        <v>0.27</v>
      </c>
    </row>
    <row r="359" spans="2:6" ht="24.75" x14ac:dyDescent="0.25">
      <c r="B359" s="5" t="s">
        <v>16</v>
      </c>
      <c r="C359" s="1"/>
      <c r="D359" s="1"/>
      <c r="E359" s="1"/>
      <c r="F359" s="5">
        <v>0.28999999999999998</v>
      </c>
    </row>
    <row r="360" spans="2:6" x14ac:dyDescent="0.25">
      <c r="B360" s="5" t="s">
        <v>17</v>
      </c>
      <c r="C360" s="1"/>
      <c r="D360" s="1"/>
      <c r="E360" s="1"/>
      <c r="F360" s="5">
        <v>0.32</v>
      </c>
    </row>
    <row r="361" spans="2:6" x14ac:dyDescent="0.25">
      <c r="B361" s="5" t="s">
        <v>18</v>
      </c>
      <c r="C361" s="1"/>
      <c r="D361" s="1"/>
      <c r="E361" s="1"/>
      <c r="F361" s="5">
        <v>1.97</v>
      </c>
    </row>
    <row r="362" spans="2:6" x14ac:dyDescent="0.25">
      <c r="B362" s="5" t="s">
        <v>19</v>
      </c>
      <c r="C362" s="1"/>
      <c r="D362" s="1"/>
      <c r="E362" s="1"/>
      <c r="F362" s="5">
        <v>3.95</v>
      </c>
    </row>
    <row r="363" spans="2:6" x14ac:dyDescent="0.25">
      <c r="B363" s="10" t="s">
        <v>20</v>
      </c>
      <c r="C363" s="1"/>
      <c r="D363" s="1"/>
      <c r="E363" s="1"/>
      <c r="F363" s="4">
        <f>SUM(F350:F362)</f>
        <v>16.989999999999998</v>
      </c>
    </row>
    <row r="364" spans="2:6" x14ac:dyDescent="0.25">
      <c r="B364" s="3" t="s">
        <v>21</v>
      </c>
      <c r="C364" s="1"/>
      <c r="D364" s="1"/>
      <c r="E364" s="1"/>
      <c r="F364" s="1"/>
    </row>
    <row r="365" spans="2:6" x14ac:dyDescent="0.25">
      <c r="B365" s="1" t="s">
        <v>420</v>
      </c>
      <c r="C365" s="1" t="s">
        <v>265</v>
      </c>
      <c r="D365" s="1">
        <v>4</v>
      </c>
      <c r="E365" s="1">
        <v>60</v>
      </c>
      <c r="F365" s="24">
        <f>E365/3317.7*1000/12</f>
        <v>1.507068149621726</v>
      </c>
    </row>
    <row r="366" spans="2:6" x14ac:dyDescent="0.25">
      <c r="B366" s="1" t="s">
        <v>317</v>
      </c>
      <c r="C366" s="1" t="s">
        <v>256</v>
      </c>
      <c r="D366" s="1">
        <v>1</v>
      </c>
      <c r="E366" s="1">
        <v>60</v>
      </c>
      <c r="F366" s="24">
        <f t="shared" ref="F366:F377" si="8">E366/3317.7*1000/12</f>
        <v>1.507068149621726</v>
      </c>
    </row>
    <row r="367" spans="2:6" x14ac:dyDescent="0.25">
      <c r="B367" s="1" t="s">
        <v>275</v>
      </c>
      <c r="C367" s="1" t="s">
        <v>26</v>
      </c>
      <c r="D367" s="1">
        <v>40</v>
      </c>
      <c r="E367" s="1">
        <v>60</v>
      </c>
      <c r="F367" s="24">
        <f t="shared" si="8"/>
        <v>1.507068149621726</v>
      </c>
    </row>
    <row r="368" spans="2:6" x14ac:dyDescent="0.25">
      <c r="B368" s="1" t="s">
        <v>390</v>
      </c>
      <c r="C368" s="1" t="s">
        <v>261</v>
      </c>
      <c r="D368" s="1">
        <v>94</v>
      </c>
      <c r="E368" s="1">
        <v>122.2</v>
      </c>
      <c r="F368" s="24">
        <f t="shared" si="8"/>
        <v>3.0693954647295816</v>
      </c>
    </row>
    <row r="369" spans="2:6" x14ac:dyDescent="0.25">
      <c r="B369" s="1" t="s">
        <v>319</v>
      </c>
      <c r="C369" s="1" t="s">
        <v>261</v>
      </c>
      <c r="D369" s="1">
        <v>120</v>
      </c>
      <c r="E369" s="1">
        <v>156</v>
      </c>
      <c r="F369" s="24">
        <f t="shared" si="8"/>
        <v>3.9183771890164878</v>
      </c>
    </row>
    <row r="370" spans="2:6" x14ac:dyDescent="0.25">
      <c r="B370" s="1" t="s">
        <v>320</v>
      </c>
      <c r="C370" s="1" t="s">
        <v>261</v>
      </c>
      <c r="D370" s="1">
        <v>80</v>
      </c>
      <c r="E370" s="1">
        <v>152</v>
      </c>
      <c r="F370" s="24">
        <f t="shared" si="8"/>
        <v>3.817905979041706</v>
      </c>
    </row>
    <row r="371" spans="2:6" x14ac:dyDescent="0.25">
      <c r="B371" s="1" t="s">
        <v>325</v>
      </c>
      <c r="C371" s="1" t="s">
        <v>261</v>
      </c>
      <c r="D371" s="1">
        <v>180</v>
      </c>
      <c r="E371" s="1">
        <v>342</v>
      </c>
      <c r="F371" s="24">
        <f t="shared" si="8"/>
        <v>8.5902884528438381</v>
      </c>
    </row>
    <row r="372" spans="2:6" x14ac:dyDescent="0.25">
      <c r="B372" s="1" t="s">
        <v>343</v>
      </c>
      <c r="C372" s="1" t="s">
        <v>256</v>
      </c>
      <c r="D372" s="1">
        <v>4</v>
      </c>
      <c r="E372" s="1">
        <v>600</v>
      </c>
      <c r="F372" s="24">
        <f t="shared" si="8"/>
        <v>15.07068149621726</v>
      </c>
    </row>
    <row r="373" spans="2:6" x14ac:dyDescent="0.25">
      <c r="B373" s="1"/>
      <c r="C373" s="1"/>
      <c r="D373" s="1"/>
      <c r="E373" s="1"/>
      <c r="F373" s="24"/>
    </row>
    <row r="374" spans="2:6" x14ac:dyDescent="0.25">
      <c r="B374" s="1" t="s">
        <v>330</v>
      </c>
      <c r="C374" s="1" t="s">
        <v>261</v>
      </c>
      <c r="D374" s="1">
        <v>100</v>
      </c>
      <c r="E374" s="1">
        <v>190</v>
      </c>
      <c r="F374" s="24">
        <f t="shared" si="8"/>
        <v>4.7723824738021321</v>
      </c>
    </row>
    <row r="375" spans="2:6" x14ac:dyDescent="0.25">
      <c r="B375" s="1" t="s">
        <v>372</v>
      </c>
      <c r="C375" s="1" t="s">
        <v>261</v>
      </c>
      <c r="D375" s="1">
        <v>300</v>
      </c>
      <c r="E375" s="1">
        <v>360</v>
      </c>
      <c r="F375" s="24">
        <f t="shared" si="8"/>
        <v>9.0424088977303558</v>
      </c>
    </row>
    <row r="376" spans="2:6" x14ac:dyDescent="0.25">
      <c r="B376" s="1" t="s">
        <v>323</v>
      </c>
      <c r="C376" s="1" t="s">
        <v>261</v>
      </c>
      <c r="D376" s="1">
        <v>1100</v>
      </c>
      <c r="E376" s="1">
        <v>1100</v>
      </c>
      <c r="F376" s="24">
        <f t="shared" si="8"/>
        <v>27.629582743064976</v>
      </c>
    </row>
    <row r="377" spans="2:6" x14ac:dyDescent="0.25">
      <c r="B377" s="1" t="s">
        <v>440</v>
      </c>
      <c r="C377" s="1" t="s">
        <v>265</v>
      </c>
      <c r="D377" s="1">
        <v>0.25</v>
      </c>
      <c r="E377" s="1">
        <v>12.5</v>
      </c>
      <c r="F377" s="24">
        <f t="shared" si="8"/>
        <v>0.31397253117119289</v>
      </c>
    </row>
    <row r="378" spans="2:6" x14ac:dyDescent="0.25">
      <c r="B378" s="10" t="s">
        <v>20</v>
      </c>
      <c r="C378" s="1"/>
      <c r="D378" s="1"/>
      <c r="E378" s="4">
        <f>SUM(E365:E377)</f>
        <v>3214.7</v>
      </c>
      <c r="F378" s="22">
        <f>SUM(F365:F377)</f>
        <v>80.746199676482703</v>
      </c>
    </row>
    <row r="379" spans="2:6" x14ac:dyDescent="0.25">
      <c r="B379" s="4" t="s">
        <v>22</v>
      </c>
      <c r="C379" s="6"/>
      <c r="D379" s="6"/>
      <c r="E379" s="6"/>
      <c r="F379" s="23">
        <f>F363+F378</f>
        <v>97.736199676482698</v>
      </c>
    </row>
    <row r="380" spans="2:6" x14ac:dyDescent="0.25">
      <c r="B380" s="7"/>
      <c r="C380" s="7"/>
      <c r="D380" s="7"/>
      <c r="E380" s="7"/>
      <c r="F380" s="7"/>
    </row>
    <row r="381" spans="2:6" x14ac:dyDescent="0.25">
      <c r="B381" s="13"/>
      <c r="C381" s="13"/>
      <c r="D381" s="13"/>
      <c r="E381" s="13"/>
      <c r="F381" s="13"/>
    </row>
    <row r="382" spans="2:6" x14ac:dyDescent="0.25">
      <c r="B382" s="13"/>
      <c r="C382" s="13"/>
      <c r="D382" s="13"/>
      <c r="E382" s="13"/>
      <c r="F382" s="13"/>
    </row>
    <row r="383" spans="2:6" x14ac:dyDescent="0.25">
      <c r="B383" s="39" t="s">
        <v>23</v>
      </c>
      <c r="C383" s="38"/>
      <c r="D383" s="38"/>
      <c r="E383" s="39" t="s">
        <v>24</v>
      </c>
      <c r="F383" s="38"/>
    </row>
    <row r="385" spans="2:6" ht="28.15" customHeight="1" x14ac:dyDescent="0.25">
      <c r="B385" s="37" t="s">
        <v>154</v>
      </c>
      <c r="C385" s="37"/>
      <c r="D385" s="37"/>
      <c r="E385" s="37"/>
      <c r="F385" s="37"/>
    </row>
    <row r="386" spans="2:6" ht="24" customHeight="1" x14ac:dyDescent="0.25">
      <c r="B386" s="37" t="s">
        <v>1</v>
      </c>
      <c r="C386" s="37"/>
      <c r="D386" s="37"/>
      <c r="E386" s="37"/>
      <c r="F386" s="37"/>
    </row>
    <row r="387" spans="2:6" x14ac:dyDescent="0.25">
      <c r="B387" s="14" t="s">
        <v>0</v>
      </c>
      <c r="C387" s="14"/>
      <c r="D387" s="14"/>
      <c r="E387" s="14"/>
      <c r="F387" s="14"/>
    </row>
    <row r="388" spans="2:6" x14ac:dyDescent="0.25">
      <c r="B388" s="12"/>
      <c r="C388" s="38" t="s">
        <v>25</v>
      </c>
      <c r="D388" s="38"/>
      <c r="E388" s="12">
        <v>2098.6999999999998</v>
      </c>
      <c r="F388" s="12" t="s">
        <v>26</v>
      </c>
    </row>
    <row r="390" spans="2:6" ht="60" x14ac:dyDescent="0.25">
      <c r="B390" s="1" t="s">
        <v>2</v>
      </c>
      <c r="C390" s="1" t="s">
        <v>4</v>
      </c>
      <c r="D390" s="1" t="s">
        <v>3</v>
      </c>
      <c r="E390" s="1" t="s">
        <v>447</v>
      </c>
      <c r="F390" s="1" t="s">
        <v>5</v>
      </c>
    </row>
    <row r="391" spans="2:6" x14ac:dyDescent="0.25">
      <c r="B391" s="1"/>
      <c r="C391" s="1"/>
      <c r="D391" s="1"/>
      <c r="E391" s="1"/>
      <c r="F391" s="1"/>
    </row>
    <row r="392" spans="2:6" x14ac:dyDescent="0.25">
      <c r="B392" s="3" t="s">
        <v>6</v>
      </c>
      <c r="C392" s="1"/>
      <c r="D392" s="1"/>
      <c r="E392" s="1"/>
      <c r="F392" s="1"/>
    </row>
    <row r="393" spans="2:6" x14ac:dyDescent="0.25">
      <c r="B393" s="5" t="s">
        <v>7</v>
      </c>
      <c r="C393" s="1"/>
      <c r="D393" s="1"/>
      <c r="E393" s="1"/>
      <c r="F393" s="5">
        <v>2.0099999999999998</v>
      </c>
    </row>
    <row r="394" spans="2:6" x14ac:dyDescent="0.25">
      <c r="B394" s="5" t="s">
        <v>8</v>
      </c>
      <c r="C394" s="1"/>
      <c r="D394" s="1"/>
      <c r="E394" s="1"/>
      <c r="F394" s="5">
        <v>5.34</v>
      </c>
    </row>
    <row r="395" spans="2:6" ht="24.75" x14ac:dyDescent="0.25">
      <c r="B395" s="5" t="s">
        <v>11</v>
      </c>
      <c r="C395" s="1"/>
      <c r="D395" s="1"/>
      <c r="E395" s="1"/>
      <c r="F395" s="5">
        <v>0.55000000000000004</v>
      </c>
    </row>
    <row r="396" spans="2:6" ht="24.75" x14ac:dyDescent="0.25">
      <c r="B396" s="5" t="s">
        <v>12</v>
      </c>
      <c r="C396" s="1"/>
      <c r="D396" s="1"/>
      <c r="E396" s="1"/>
      <c r="F396" s="5">
        <v>0.53</v>
      </c>
    </row>
    <row r="397" spans="2:6" ht="24.75" x14ac:dyDescent="0.25">
      <c r="B397" s="5" t="s">
        <v>13</v>
      </c>
      <c r="C397" s="1"/>
      <c r="D397" s="1"/>
      <c r="E397" s="1"/>
      <c r="F397" s="5">
        <v>0.19</v>
      </c>
    </row>
    <row r="398" spans="2:6" ht="24.75" x14ac:dyDescent="0.25">
      <c r="B398" s="5" t="s">
        <v>14</v>
      </c>
      <c r="C398" s="1"/>
      <c r="D398" s="1"/>
      <c r="E398" s="1"/>
      <c r="F398" s="5">
        <v>1.25</v>
      </c>
    </row>
    <row r="399" spans="2:6" ht="24.75" x14ac:dyDescent="0.25">
      <c r="B399" s="5" t="s">
        <v>9</v>
      </c>
      <c r="C399" s="1"/>
      <c r="D399" s="1"/>
      <c r="E399" s="1"/>
      <c r="F399" s="5">
        <v>0.26</v>
      </c>
    </row>
    <row r="400" spans="2:6" ht="24.75" x14ac:dyDescent="0.25">
      <c r="B400" s="5" t="s">
        <v>15</v>
      </c>
      <c r="C400" s="1"/>
      <c r="D400" s="1"/>
      <c r="E400" s="1"/>
      <c r="F400" s="5">
        <v>0.01</v>
      </c>
    </row>
    <row r="401" spans="2:6" ht="24.75" x14ac:dyDescent="0.25">
      <c r="B401" s="5" t="s">
        <v>16</v>
      </c>
      <c r="C401" s="1"/>
      <c r="D401" s="1"/>
      <c r="E401" s="1"/>
      <c r="F401" s="5">
        <v>0.28999999999999998</v>
      </c>
    </row>
    <row r="402" spans="2:6" x14ac:dyDescent="0.25">
      <c r="B402" s="5" t="s">
        <v>17</v>
      </c>
      <c r="C402" s="1"/>
      <c r="D402" s="1"/>
      <c r="E402" s="1"/>
      <c r="F402" s="5">
        <v>0.32</v>
      </c>
    </row>
    <row r="403" spans="2:6" x14ac:dyDescent="0.25">
      <c r="B403" s="5" t="s">
        <v>18</v>
      </c>
      <c r="C403" s="1"/>
      <c r="D403" s="1"/>
      <c r="E403" s="1"/>
      <c r="F403" s="5">
        <v>1.97</v>
      </c>
    </row>
    <row r="404" spans="2:6" x14ac:dyDescent="0.25">
      <c r="B404" s="5" t="s">
        <v>19</v>
      </c>
      <c r="C404" s="1"/>
      <c r="D404" s="1"/>
      <c r="E404" s="1"/>
      <c r="F404" s="5">
        <v>3.95</v>
      </c>
    </row>
    <row r="405" spans="2:6" x14ac:dyDescent="0.25">
      <c r="B405" s="10" t="s">
        <v>20</v>
      </c>
      <c r="C405" s="1"/>
      <c r="D405" s="1"/>
      <c r="E405" s="1"/>
      <c r="F405" s="4">
        <f>SUM(F393:F404)</f>
        <v>16.669999999999998</v>
      </c>
    </row>
    <row r="406" spans="2:6" x14ac:dyDescent="0.25">
      <c r="B406" s="3" t="s">
        <v>21</v>
      </c>
      <c r="C406" s="1"/>
      <c r="D406" s="1"/>
      <c r="E406" s="1"/>
      <c r="F406" s="1"/>
    </row>
    <row r="407" spans="2:6" x14ac:dyDescent="0.25">
      <c r="B407" s="1"/>
      <c r="C407" s="1"/>
      <c r="D407" s="1"/>
      <c r="E407" s="1"/>
      <c r="F407" s="1">
        <f>E407/2098.7</f>
        <v>0</v>
      </c>
    </row>
    <row r="408" spans="2:6" x14ac:dyDescent="0.25">
      <c r="B408" s="1" t="s">
        <v>390</v>
      </c>
      <c r="C408" s="1" t="s">
        <v>261</v>
      </c>
      <c r="D408" s="1">
        <v>50</v>
      </c>
      <c r="E408" s="1">
        <v>65</v>
      </c>
      <c r="F408" s="24">
        <f>E408/2098.7*1000/12</f>
        <v>2.5809628182525692</v>
      </c>
    </row>
    <row r="409" spans="2:6" x14ac:dyDescent="0.25">
      <c r="B409" s="1" t="s">
        <v>319</v>
      </c>
      <c r="C409" s="1" t="s">
        <v>261</v>
      </c>
      <c r="D409" s="1">
        <v>97</v>
      </c>
      <c r="E409" s="1">
        <v>126.1</v>
      </c>
      <c r="F409" s="24">
        <f t="shared" ref="F409:F419" si="9">E409/2098.7*1000/12</f>
        <v>5.007067867409984</v>
      </c>
    </row>
    <row r="410" spans="2:6" x14ac:dyDescent="0.25">
      <c r="B410" s="1" t="s">
        <v>320</v>
      </c>
      <c r="C410" s="1" t="s">
        <v>261</v>
      </c>
      <c r="D410" s="1">
        <v>72</v>
      </c>
      <c r="E410" s="1">
        <v>136.80000000000001</v>
      </c>
      <c r="F410" s="24">
        <f t="shared" si="9"/>
        <v>5.4319340544146391</v>
      </c>
    </row>
    <row r="411" spans="2:6" x14ac:dyDescent="0.25">
      <c r="B411" s="1" t="s">
        <v>325</v>
      </c>
      <c r="C411" s="1" t="s">
        <v>261</v>
      </c>
      <c r="D411" s="1">
        <v>108</v>
      </c>
      <c r="E411" s="1">
        <v>205.2</v>
      </c>
      <c r="F411" s="24">
        <f t="shared" si="9"/>
        <v>8.1479010816219581</v>
      </c>
    </row>
    <row r="412" spans="2:6" x14ac:dyDescent="0.25">
      <c r="B412" s="1" t="s">
        <v>343</v>
      </c>
      <c r="C412" s="1" t="s">
        <v>256</v>
      </c>
      <c r="D412" s="1">
        <v>3</v>
      </c>
      <c r="E412" s="1">
        <v>210</v>
      </c>
      <c r="F412" s="24">
        <f t="shared" si="9"/>
        <v>8.3384952589698393</v>
      </c>
    </row>
    <row r="413" spans="2:6" x14ac:dyDescent="0.25">
      <c r="B413" s="1"/>
      <c r="C413" s="1"/>
      <c r="D413" s="1"/>
      <c r="E413" s="1"/>
      <c r="F413" s="24"/>
    </row>
    <row r="414" spans="2:6" x14ac:dyDescent="0.25">
      <c r="B414" s="1"/>
      <c r="C414" s="1"/>
      <c r="D414" s="1"/>
      <c r="E414" s="1"/>
      <c r="F414" s="24">
        <f t="shared" si="9"/>
        <v>0</v>
      </c>
    </row>
    <row r="415" spans="2:6" x14ac:dyDescent="0.25">
      <c r="B415" s="1"/>
      <c r="C415" s="1"/>
      <c r="D415" s="1"/>
      <c r="E415" s="1"/>
      <c r="F415" s="24">
        <f t="shared" si="9"/>
        <v>0</v>
      </c>
    </row>
    <row r="416" spans="2:6" x14ac:dyDescent="0.25">
      <c r="B416" s="1"/>
      <c r="C416" s="1"/>
      <c r="D416" s="1"/>
      <c r="E416" s="1"/>
      <c r="F416" s="24">
        <f t="shared" si="9"/>
        <v>0</v>
      </c>
    </row>
    <row r="417" spans="2:6" x14ac:dyDescent="0.25">
      <c r="B417" s="1"/>
      <c r="C417" s="1"/>
      <c r="D417" s="1"/>
      <c r="E417" s="1"/>
      <c r="F417" s="24">
        <f t="shared" si="9"/>
        <v>0</v>
      </c>
    </row>
    <row r="418" spans="2:6" x14ac:dyDescent="0.25">
      <c r="B418" s="1"/>
      <c r="C418" s="1"/>
      <c r="D418" s="1"/>
      <c r="E418" s="1"/>
      <c r="F418" s="24">
        <f t="shared" si="9"/>
        <v>0</v>
      </c>
    </row>
    <row r="419" spans="2:6" x14ac:dyDescent="0.25">
      <c r="B419" s="1"/>
      <c r="C419" s="1"/>
      <c r="D419" s="1"/>
      <c r="E419" s="1"/>
      <c r="F419" s="24">
        <f t="shared" si="9"/>
        <v>0</v>
      </c>
    </row>
    <row r="420" spans="2:6" x14ac:dyDescent="0.25">
      <c r="B420" s="10" t="s">
        <v>20</v>
      </c>
      <c r="C420" s="1"/>
      <c r="D420" s="1"/>
      <c r="E420" s="4">
        <f>SUM(E407:E419)</f>
        <v>743.09999999999991</v>
      </c>
      <c r="F420" s="22">
        <f>SUM(F407:F419)</f>
        <v>29.506361080668992</v>
      </c>
    </row>
    <row r="421" spans="2:6" x14ac:dyDescent="0.25">
      <c r="B421" s="4" t="s">
        <v>22</v>
      </c>
      <c r="C421" s="6"/>
      <c r="D421" s="6"/>
      <c r="E421" s="6"/>
      <c r="F421" s="23">
        <f>F405+F420</f>
        <v>46.17636108066899</v>
      </c>
    </row>
    <row r="422" spans="2:6" x14ac:dyDescent="0.25">
      <c r="B422" s="7"/>
      <c r="C422" s="7"/>
      <c r="D422" s="7"/>
      <c r="E422" s="7"/>
      <c r="F422" s="7"/>
    </row>
    <row r="423" spans="2:6" x14ac:dyDescent="0.25">
      <c r="B423" s="13"/>
      <c r="C423" s="13"/>
      <c r="D423" s="13"/>
      <c r="E423" s="13"/>
      <c r="F423" s="13"/>
    </row>
    <row r="424" spans="2:6" x14ac:dyDescent="0.25">
      <c r="B424" s="13"/>
      <c r="C424" s="13"/>
      <c r="D424" s="13"/>
      <c r="E424" s="13"/>
      <c r="F424" s="13"/>
    </row>
    <row r="425" spans="2:6" x14ac:dyDescent="0.25">
      <c r="B425" s="39" t="s">
        <v>23</v>
      </c>
      <c r="C425" s="38"/>
      <c r="D425" s="38"/>
      <c r="E425" s="39" t="s">
        <v>24</v>
      </c>
      <c r="F425" s="38"/>
    </row>
    <row r="427" spans="2:6" ht="31.9" customHeight="1" x14ac:dyDescent="0.25">
      <c r="B427" s="37" t="s">
        <v>155</v>
      </c>
      <c r="C427" s="37"/>
      <c r="D427" s="37"/>
      <c r="E427" s="37"/>
      <c r="F427" s="37"/>
    </row>
    <row r="428" spans="2:6" ht="31.9" customHeight="1" x14ac:dyDescent="0.25">
      <c r="B428" s="37" t="s">
        <v>1</v>
      </c>
      <c r="C428" s="37"/>
      <c r="D428" s="37"/>
      <c r="E428" s="37"/>
      <c r="F428" s="37"/>
    </row>
    <row r="429" spans="2:6" x14ac:dyDescent="0.25">
      <c r="B429" s="14" t="s">
        <v>0</v>
      </c>
      <c r="C429" s="14"/>
      <c r="D429" s="14"/>
      <c r="E429" s="14"/>
      <c r="F429" s="14"/>
    </row>
    <row r="430" spans="2:6" x14ac:dyDescent="0.25">
      <c r="B430" s="12"/>
      <c r="C430" s="38" t="s">
        <v>25</v>
      </c>
      <c r="D430" s="38"/>
      <c r="E430" s="12">
        <v>2973</v>
      </c>
      <c r="F430" s="12" t="s">
        <v>26</v>
      </c>
    </row>
    <row r="432" spans="2:6" ht="60" x14ac:dyDescent="0.25">
      <c r="B432" s="1" t="s">
        <v>2</v>
      </c>
      <c r="C432" s="1" t="s">
        <v>4</v>
      </c>
      <c r="D432" s="1" t="s">
        <v>3</v>
      </c>
      <c r="E432" s="1" t="s">
        <v>447</v>
      </c>
      <c r="F432" s="1" t="s">
        <v>5</v>
      </c>
    </row>
    <row r="433" spans="2:6" x14ac:dyDescent="0.25">
      <c r="B433" s="1"/>
      <c r="C433" s="1"/>
      <c r="D433" s="1"/>
      <c r="E433" s="1"/>
      <c r="F433" s="1"/>
    </row>
    <row r="434" spans="2:6" x14ac:dyDescent="0.25">
      <c r="B434" s="3" t="s">
        <v>6</v>
      </c>
      <c r="C434" s="1"/>
      <c r="D434" s="1"/>
      <c r="E434" s="1"/>
      <c r="F434" s="1"/>
    </row>
    <row r="435" spans="2:6" x14ac:dyDescent="0.25">
      <c r="B435" s="5" t="s">
        <v>7</v>
      </c>
      <c r="C435" s="1"/>
      <c r="D435" s="1"/>
      <c r="E435" s="1"/>
      <c r="F435" s="5">
        <v>2.0099999999999998</v>
      </c>
    </row>
    <row r="436" spans="2:6" x14ac:dyDescent="0.25">
      <c r="B436" s="5" t="s">
        <v>8</v>
      </c>
      <c r="C436" s="1"/>
      <c r="D436" s="1"/>
      <c r="E436" s="1"/>
      <c r="F436" s="5">
        <v>5.34</v>
      </c>
    </row>
    <row r="437" spans="2:6" x14ac:dyDescent="0.25">
      <c r="B437" s="15" t="s">
        <v>30</v>
      </c>
      <c r="C437" s="1"/>
      <c r="D437" s="1"/>
      <c r="E437" s="1"/>
      <c r="F437" s="5">
        <v>0.06</v>
      </c>
    </row>
    <row r="438" spans="2:6" ht="24.75" x14ac:dyDescent="0.25">
      <c r="B438" s="5" t="s">
        <v>11</v>
      </c>
      <c r="C438" s="1"/>
      <c r="D438" s="1"/>
      <c r="E438" s="1"/>
      <c r="F438" s="5">
        <v>0.55000000000000004</v>
      </c>
    </row>
    <row r="439" spans="2:6" ht="24.75" x14ac:dyDescent="0.25">
      <c r="B439" s="5" t="s">
        <v>12</v>
      </c>
      <c r="C439" s="1"/>
      <c r="D439" s="1"/>
      <c r="E439" s="1"/>
      <c r="F439" s="5">
        <v>0.53</v>
      </c>
    </row>
    <row r="440" spans="2:6" ht="24.75" x14ac:dyDescent="0.25">
      <c r="B440" s="5" t="s">
        <v>13</v>
      </c>
      <c r="C440" s="1"/>
      <c r="D440" s="1"/>
      <c r="E440" s="1"/>
      <c r="F440" s="5">
        <v>0.19</v>
      </c>
    </row>
    <row r="441" spans="2:6" ht="24.75" x14ac:dyDescent="0.25">
      <c r="B441" s="5" t="s">
        <v>14</v>
      </c>
      <c r="C441" s="1"/>
      <c r="D441" s="1"/>
      <c r="E441" s="1"/>
      <c r="F441" s="5">
        <v>1.25</v>
      </c>
    </row>
    <row r="442" spans="2:6" ht="24.75" x14ac:dyDescent="0.25">
      <c r="B442" s="5" t="s">
        <v>9</v>
      </c>
      <c r="C442" s="1"/>
      <c r="D442" s="1"/>
      <c r="E442" s="1"/>
      <c r="F442" s="5">
        <v>0.26</v>
      </c>
    </row>
    <row r="443" spans="2:6" ht="24.75" x14ac:dyDescent="0.25">
      <c r="B443" s="5" t="s">
        <v>15</v>
      </c>
      <c r="C443" s="1"/>
      <c r="D443" s="1"/>
      <c r="E443" s="1"/>
      <c r="F443" s="5">
        <v>0.01</v>
      </c>
    </row>
    <row r="444" spans="2:6" ht="24.75" x14ac:dyDescent="0.25">
      <c r="B444" s="5" t="s">
        <v>16</v>
      </c>
      <c r="C444" s="1"/>
      <c r="D444" s="1"/>
      <c r="E444" s="1"/>
      <c r="F444" s="5">
        <v>0.28999999999999998</v>
      </c>
    </row>
    <row r="445" spans="2:6" x14ac:dyDescent="0.25">
      <c r="B445" s="5" t="s">
        <v>17</v>
      </c>
      <c r="C445" s="1"/>
      <c r="D445" s="1"/>
      <c r="E445" s="1"/>
      <c r="F445" s="5">
        <v>0.32</v>
      </c>
    </row>
    <row r="446" spans="2:6" x14ac:dyDescent="0.25">
      <c r="B446" s="5" t="s">
        <v>18</v>
      </c>
      <c r="C446" s="1"/>
      <c r="D446" s="1"/>
      <c r="E446" s="1"/>
      <c r="F446" s="5">
        <v>1.97</v>
      </c>
    </row>
    <row r="447" spans="2:6" x14ac:dyDescent="0.25">
      <c r="B447" s="5" t="s">
        <v>19</v>
      </c>
      <c r="C447" s="1"/>
      <c r="D447" s="1"/>
      <c r="E447" s="1"/>
      <c r="F447" s="5">
        <v>3.95</v>
      </c>
    </row>
    <row r="448" spans="2:6" x14ac:dyDescent="0.25">
      <c r="B448" s="10" t="s">
        <v>20</v>
      </c>
      <c r="C448" s="1"/>
      <c r="D448" s="1"/>
      <c r="E448" s="1"/>
      <c r="F448" s="4">
        <f>SUM(F435:F447)</f>
        <v>16.729999999999997</v>
      </c>
    </row>
    <row r="449" spans="2:6" x14ac:dyDescent="0.25">
      <c r="B449" s="3" t="s">
        <v>21</v>
      </c>
      <c r="C449" s="1"/>
      <c r="D449" s="1"/>
      <c r="E449" s="1"/>
      <c r="F449" s="1"/>
    </row>
    <row r="450" spans="2:6" x14ac:dyDescent="0.25">
      <c r="B450" s="1" t="s">
        <v>327</v>
      </c>
      <c r="C450" s="1" t="s">
        <v>261</v>
      </c>
      <c r="D450" s="1">
        <v>230</v>
      </c>
      <c r="E450" s="1">
        <v>230</v>
      </c>
      <c r="F450" s="24">
        <f>E450/2973*1000/12</f>
        <v>6.4469110886870729</v>
      </c>
    </row>
    <row r="451" spans="2:6" x14ac:dyDescent="0.25">
      <c r="B451" s="1" t="s">
        <v>294</v>
      </c>
      <c r="C451" s="1" t="s">
        <v>26</v>
      </c>
      <c r="D451" s="1">
        <v>400</v>
      </c>
      <c r="E451" s="1">
        <v>983.4</v>
      </c>
      <c r="F451" s="24">
        <f t="shared" ref="F451:F462" si="10">E451/2973*1000/12</f>
        <v>27.564749411368982</v>
      </c>
    </row>
    <row r="452" spans="2:6" x14ac:dyDescent="0.25">
      <c r="B452" s="1" t="s">
        <v>319</v>
      </c>
      <c r="C452" s="1" t="s">
        <v>261</v>
      </c>
      <c r="D452" s="1">
        <v>136</v>
      </c>
      <c r="E452" s="1">
        <v>176.8</v>
      </c>
      <c r="F452" s="24">
        <f t="shared" si="10"/>
        <v>4.9557125238255413</v>
      </c>
    </row>
    <row r="453" spans="2:6" x14ac:dyDescent="0.25">
      <c r="B453" s="1" t="s">
        <v>325</v>
      </c>
      <c r="C453" s="1" t="s">
        <v>261</v>
      </c>
      <c r="D453" s="1">
        <v>36</v>
      </c>
      <c r="E453" s="1">
        <v>68.400000000000006</v>
      </c>
      <c r="F453" s="24">
        <f t="shared" si="10"/>
        <v>1.9172552976791122</v>
      </c>
    </row>
    <row r="454" spans="2:6" x14ac:dyDescent="0.25">
      <c r="B454" s="1" t="s">
        <v>322</v>
      </c>
      <c r="C454" s="1" t="s">
        <v>261</v>
      </c>
      <c r="D454" s="1">
        <v>300</v>
      </c>
      <c r="E454" s="1">
        <v>360</v>
      </c>
      <c r="F454" s="24">
        <f t="shared" si="10"/>
        <v>10.090817356205852</v>
      </c>
    </row>
    <row r="455" spans="2:6" x14ac:dyDescent="0.25">
      <c r="B455" s="1" t="s">
        <v>323</v>
      </c>
      <c r="C455" s="1" t="s">
        <v>261</v>
      </c>
      <c r="D455" s="1">
        <v>1100</v>
      </c>
      <c r="E455" s="1">
        <v>1100</v>
      </c>
      <c r="F455" s="24">
        <f t="shared" si="10"/>
        <v>30.833053032851215</v>
      </c>
    </row>
    <row r="456" spans="2:6" x14ac:dyDescent="0.25">
      <c r="B456" s="1" t="s">
        <v>343</v>
      </c>
      <c r="C456" s="1" t="s">
        <v>256</v>
      </c>
      <c r="D456" s="1">
        <v>4</v>
      </c>
      <c r="E456" s="1">
        <v>600</v>
      </c>
      <c r="F456" s="24">
        <f t="shared" si="10"/>
        <v>16.818028927009752</v>
      </c>
    </row>
    <row r="457" spans="2:6" x14ac:dyDescent="0.25">
      <c r="B457" s="1"/>
      <c r="C457" s="1"/>
      <c r="D457" s="1"/>
      <c r="E457" s="1"/>
      <c r="F457" s="24">
        <f t="shared" si="10"/>
        <v>0</v>
      </c>
    </row>
    <row r="458" spans="2:6" x14ac:dyDescent="0.25">
      <c r="B458" s="1"/>
      <c r="C458" s="1"/>
      <c r="D458" s="1"/>
      <c r="E458" s="1"/>
      <c r="F458" s="24">
        <f t="shared" si="10"/>
        <v>0</v>
      </c>
    </row>
    <row r="459" spans="2:6" x14ac:dyDescent="0.25">
      <c r="B459" s="1"/>
      <c r="C459" s="1"/>
      <c r="D459" s="1"/>
      <c r="E459" s="1"/>
      <c r="F459" s="24">
        <f t="shared" si="10"/>
        <v>0</v>
      </c>
    </row>
    <row r="460" spans="2:6" x14ac:dyDescent="0.25">
      <c r="B460" s="1"/>
      <c r="C460" s="1"/>
      <c r="D460" s="1"/>
      <c r="E460" s="1"/>
      <c r="F460" s="24">
        <f t="shared" si="10"/>
        <v>0</v>
      </c>
    </row>
    <row r="461" spans="2:6" x14ac:dyDescent="0.25">
      <c r="B461" s="1"/>
      <c r="C461" s="1"/>
      <c r="D461" s="1"/>
      <c r="E461" s="1"/>
      <c r="F461" s="24">
        <f t="shared" si="10"/>
        <v>0</v>
      </c>
    </row>
    <row r="462" spans="2:6" x14ac:dyDescent="0.25">
      <c r="B462" s="1"/>
      <c r="C462" s="1"/>
      <c r="D462" s="1"/>
      <c r="E462" s="1"/>
      <c r="F462" s="24">
        <f t="shared" si="10"/>
        <v>0</v>
      </c>
    </row>
    <row r="463" spans="2:6" x14ac:dyDescent="0.25">
      <c r="B463" s="10" t="s">
        <v>20</v>
      </c>
      <c r="C463" s="1"/>
      <c r="D463" s="1"/>
      <c r="E463" s="4">
        <f>SUM(E450:E462)</f>
        <v>3518.6000000000004</v>
      </c>
      <c r="F463" s="22">
        <f>SUM(F450:F462)</f>
        <v>98.626527637627518</v>
      </c>
    </row>
    <row r="464" spans="2:6" x14ac:dyDescent="0.25">
      <c r="B464" s="4" t="s">
        <v>22</v>
      </c>
      <c r="C464" s="6"/>
      <c r="D464" s="6"/>
      <c r="E464" s="6"/>
      <c r="F464" s="23">
        <f>F448+F463</f>
        <v>115.35652763762752</v>
      </c>
    </row>
    <row r="465" spans="2:6" x14ac:dyDescent="0.25">
      <c r="B465" s="7"/>
      <c r="C465" s="7"/>
      <c r="D465" s="7"/>
      <c r="E465" s="7"/>
      <c r="F465" s="7"/>
    </row>
    <row r="466" spans="2:6" x14ac:dyDescent="0.25">
      <c r="B466" s="13"/>
      <c r="C466" s="13"/>
      <c r="D466" s="13"/>
      <c r="E466" s="13"/>
      <c r="F466" s="13"/>
    </row>
    <row r="467" spans="2:6" x14ac:dyDescent="0.25">
      <c r="B467" s="13"/>
      <c r="C467" s="13"/>
      <c r="D467" s="13"/>
      <c r="E467" s="13"/>
      <c r="F467" s="13"/>
    </row>
    <row r="468" spans="2:6" x14ac:dyDescent="0.25">
      <c r="B468" s="39" t="s">
        <v>23</v>
      </c>
      <c r="C468" s="38"/>
      <c r="D468" s="38"/>
      <c r="E468" s="39" t="s">
        <v>24</v>
      </c>
      <c r="F468" s="38"/>
    </row>
    <row r="470" spans="2:6" ht="27.6" customHeight="1" x14ac:dyDescent="0.25">
      <c r="B470" s="37" t="s">
        <v>156</v>
      </c>
      <c r="C470" s="37"/>
      <c r="D470" s="37"/>
      <c r="E470" s="37"/>
      <c r="F470" s="37"/>
    </row>
    <row r="471" spans="2:6" ht="32.450000000000003" customHeight="1" x14ac:dyDescent="0.25">
      <c r="B471" s="37" t="s">
        <v>1</v>
      </c>
      <c r="C471" s="37"/>
      <c r="D471" s="37"/>
      <c r="E471" s="37"/>
      <c r="F471" s="37"/>
    </row>
    <row r="472" spans="2:6" x14ac:dyDescent="0.25">
      <c r="B472" s="14" t="s">
        <v>0</v>
      </c>
      <c r="C472" s="14"/>
      <c r="D472" s="14"/>
      <c r="E472" s="14"/>
      <c r="F472" s="14"/>
    </row>
    <row r="473" spans="2:6" x14ac:dyDescent="0.25">
      <c r="B473" s="12"/>
      <c r="C473" s="38" t="s">
        <v>25</v>
      </c>
      <c r="D473" s="38"/>
      <c r="E473" s="12">
        <v>4378.7</v>
      </c>
      <c r="F473" s="12" t="s">
        <v>26</v>
      </c>
    </row>
    <row r="475" spans="2:6" ht="60" x14ac:dyDescent="0.25">
      <c r="B475" s="1" t="s">
        <v>2</v>
      </c>
      <c r="C475" s="1" t="s">
        <v>4</v>
      </c>
      <c r="D475" s="1" t="s">
        <v>3</v>
      </c>
      <c r="E475" s="1" t="s">
        <v>447</v>
      </c>
      <c r="F475" s="1" t="s">
        <v>5</v>
      </c>
    </row>
    <row r="476" spans="2:6" x14ac:dyDescent="0.25">
      <c r="B476" s="1"/>
      <c r="C476" s="1"/>
      <c r="D476" s="1"/>
      <c r="E476" s="1"/>
      <c r="F476" s="1"/>
    </row>
    <row r="477" spans="2:6" x14ac:dyDescent="0.25">
      <c r="B477" s="3" t="s">
        <v>6</v>
      </c>
      <c r="C477" s="1"/>
      <c r="D477" s="1"/>
      <c r="E477" s="1"/>
      <c r="F477" s="1"/>
    </row>
    <row r="478" spans="2:6" x14ac:dyDescent="0.25">
      <c r="B478" s="5" t="s">
        <v>7</v>
      </c>
      <c r="C478" s="1"/>
      <c r="D478" s="1"/>
      <c r="E478" s="1"/>
      <c r="F478" s="5">
        <v>2.0099999999999998</v>
      </c>
    </row>
    <row r="479" spans="2:6" x14ac:dyDescent="0.25">
      <c r="B479" s="5" t="s">
        <v>8</v>
      </c>
      <c r="C479" s="1"/>
      <c r="D479" s="1"/>
      <c r="E479" s="1"/>
      <c r="F479" s="5">
        <v>5.34</v>
      </c>
    </row>
    <row r="480" spans="2:6" x14ac:dyDescent="0.25">
      <c r="B480" s="15" t="s">
        <v>30</v>
      </c>
      <c r="C480" s="1"/>
      <c r="D480" s="1"/>
      <c r="E480" s="1"/>
      <c r="F480" s="5">
        <v>0.06</v>
      </c>
    </row>
    <row r="481" spans="2:6" ht="24.75" x14ac:dyDescent="0.25">
      <c r="B481" s="5" t="s">
        <v>11</v>
      </c>
      <c r="C481" s="1"/>
      <c r="D481" s="1"/>
      <c r="E481" s="1"/>
      <c r="F481" s="5">
        <v>0.55000000000000004</v>
      </c>
    </row>
    <row r="482" spans="2:6" ht="24.75" x14ac:dyDescent="0.25">
      <c r="B482" s="5" t="s">
        <v>12</v>
      </c>
      <c r="C482" s="1"/>
      <c r="D482" s="1"/>
      <c r="E482" s="1"/>
      <c r="F482" s="5">
        <v>0.53</v>
      </c>
    </row>
    <row r="483" spans="2:6" ht="24.75" x14ac:dyDescent="0.25">
      <c r="B483" s="5" t="s">
        <v>13</v>
      </c>
      <c r="C483" s="1"/>
      <c r="D483" s="1"/>
      <c r="E483" s="1"/>
      <c r="F483" s="5">
        <v>0.19</v>
      </c>
    </row>
    <row r="484" spans="2:6" ht="24.75" x14ac:dyDescent="0.25">
      <c r="B484" s="5" t="s">
        <v>14</v>
      </c>
      <c r="C484" s="1"/>
      <c r="D484" s="1"/>
      <c r="E484" s="1"/>
      <c r="F484" s="5">
        <v>1.25</v>
      </c>
    </row>
    <row r="485" spans="2:6" ht="24.75" x14ac:dyDescent="0.25">
      <c r="B485" s="5" t="s">
        <v>9</v>
      </c>
      <c r="C485" s="1"/>
      <c r="D485" s="1"/>
      <c r="E485" s="1"/>
      <c r="F485" s="5">
        <v>0.26</v>
      </c>
    </row>
    <row r="486" spans="2:6" ht="24.75" x14ac:dyDescent="0.25">
      <c r="B486" s="5" t="s">
        <v>15</v>
      </c>
      <c r="C486" s="1"/>
      <c r="D486" s="1"/>
      <c r="E486" s="1"/>
      <c r="F486" s="5">
        <v>0.01</v>
      </c>
    </row>
    <row r="487" spans="2:6" ht="24.75" x14ac:dyDescent="0.25">
      <c r="B487" s="5" t="s">
        <v>16</v>
      </c>
      <c r="C487" s="1"/>
      <c r="D487" s="1"/>
      <c r="E487" s="1"/>
      <c r="F487" s="5">
        <v>0.28999999999999998</v>
      </c>
    </row>
    <row r="488" spans="2:6" x14ac:dyDescent="0.25">
      <c r="B488" s="5" t="s">
        <v>17</v>
      </c>
      <c r="C488" s="1"/>
      <c r="D488" s="1"/>
      <c r="E488" s="1"/>
      <c r="F488" s="5">
        <v>0.32</v>
      </c>
    </row>
    <row r="489" spans="2:6" x14ac:dyDescent="0.25">
      <c r="B489" s="5" t="s">
        <v>18</v>
      </c>
      <c r="C489" s="1"/>
      <c r="D489" s="1"/>
      <c r="E489" s="1"/>
      <c r="F489" s="5">
        <v>1.97</v>
      </c>
    </row>
    <row r="490" spans="2:6" x14ac:dyDescent="0.25">
      <c r="B490" s="5" t="s">
        <v>19</v>
      </c>
      <c r="C490" s="1"/>
      <c r="D490" s="1"/>
      <c r="E490" s="1"/>
      <c r="F490" s="5">
        <v>3.95</v>
      </c>
    </row>
    <row r="491" spans="2:6" x14ac:dyDescent="0.25">
      <c r="B491" s="10" t="s">
        <v>20</v>
      </c>
      <c r="C491" s="1"/>
      <c r="D491" s="1"/>
      <c r="E491" s="1"/>
      <c r="F491" s="4">
        <f>SUM(F478:F490)</f>
        <v>16.729999999999997</v>
      </c>
    </row>
    <row r="492" spans="2:6" x14ac:dyDescent="0.25">
      <c r="B492" s="3" t="s">
        <v>21</v>
      </c>
      <c r="C492" s="1"/>
      <c r="D492" s="1"/>
      <c r="E492" s="1"/>
      <c r="F492" s="1"/>
    </row>
    <row r="493" spans="2:6" x14ac:dyDescent="0.25">
      <c r="B493" s="1"/>
      <c r="C493" s="1"/>
      <c r="D493" s="1"/>
      <c r="E493" s="1"/>
      <c r="F493" s="24"/>
    </row>
    <row r="494" spans="2:6" x14ac:dyDescent="0.25">
      <c r="B494" s="1" t="s">
        <v>373</v>
      </c>
      <c r="C494" s="1" t="s">
        <v>265</v>
      </c>
      <c r="D494" s="1">
        <v>1</v>
      </c>
      <c r="E494" s="1">
        <v>10</v>
      </c>
      <c r="F494" s="24">
        <f t="shared" ref="F494:F505" si="11">E494/4378.7*1000/12</f>
        <v>0.19031523816048904</v>
      </c>
    </row>
    <row r="495" spans="2:6" x14ac:dyDescent="0.25">
      <c r="B495" s="1" t="s">
        <v>390</v>
      </c>
      <c r="C495" s="1" t="s">
        <v>261</v>
      </c>
      <c r="D495" s="1">
        <v>130</v>
      </c>
      <c r="E495" s="1">
        <v>169</v>
      </c>
      <c r="F495" s="24">
        <f t="shared" si="11"/>
        <v>3.2163275249122649</v>
      </c>
    </row>
    <row r="496" spans="2:6" x14ac:dyDescent="0.25">
      <c r="B496" s="1" t="s">
        <v>319</v>
      </c>
      <c r="C496" s="1" t="s">
        <v>261</v>
      </c>
      <c r="D496" s="1">
        <v>230</v>
      </c>
      <c r="E496" s="1">
        <v>299</v>
      </c>
      <c r="F496" s="24">
        <f t="shared" si="11"/>
        <v>5.6904256209986217</v>
      </c>
    </row>
    <row r="497" spans="2:6" x14ac:dyDescent="0.25">
      <c r="B497" s="1" t="s">
        <v>325</v>
      </c>
      <c r="C497" s="1" t="s">
        <v>261</v>
      </c>
      <c r="D497" s="1">
        <v>240</v>
      </c>
      <c r="E497" s="1">
        <v>456</v>
      </c>
      <c r="F497" s="24">
        <f t="shared" si="11"/>
        <v>8.6783748601182999</v>
      </c>
    </row>
    <row r="498" spans="2:6" x14ac:dyDescent="0.25">
      <c r="B498" s="1" t="s">
        <v>424</v>
      </c>
      <c r="C498" s="1" t="s">
        <v>265</v>
      </c>
      <c r="D498" s="1">
        <v>32</v>
      </c>
      <c r="E498" s="1">
        <v>20</v>
      </c>
      <c r="F498" s="24">
        <f t="shared" si="11"/>
        <v>0.38063047632097807</v>
      </c>
    </row>
    <row r="499" spans="2:6" x14ac:dyDescent="0.25">
      <c r="B499" s="1" t="s">
        <v>322</v>
      </c>
      <c r="C499" s="1" t="s">
        <v>261</v>
      </c>
      <c r="D499" s="1">
        <v>350</v>
      </c>
      <c r="E499" s="1">
        <v>420</v>
      </c>
      <c r="F499" s="24">
        <f t="shared" si="11"/>
        <v>7.9932400027405395</v>
      </c>
    </row>
    <row r="500" spans="2:6" x14ac:dyDescent="0.25">
      <c r="B500" s="1" t="s">
        <v>323</v>
      </c>
      <c r="C500" s="1" t="s">
        <v>261</v>
      </c>
      <c r="D500" s="1">
        <v>850</v>
      </c>
      <c r="E500" s="1">
        <v>850</v>
      </c>
      <c r="F500" s="24">
        <f t="shared" si="11"/>
        <v>16.176795243641568</v>
      </c>
    </row>
    <row r="501" spans="2:6" x14ac:dyDescent="0.25">
      <c r="B501" s="1" t="s">
        <v>343</v>
      </c>
      <c r="C501" s="1" t="s">
        <v>256</v>
      </c>
      <c r="D501" s="1">
        <v>6</v>
      </c>
      <c r="E501" s="1">
        <v>900</v>
      </c>
      <c r="F501" s="24">
        <f t="shared" si="11"/>
        <v>17.128371434444016</v>
      </c>
    </row>
    <row r="502" spans="2:6" x14ac:dyDescent="0.25">
      <c r="B502" s="1"/>
      <c r="C502" s="1"/>
      <c r="D502" s="1"/>
      <c r="E502" s="1"/>
      <c r="F502" s="24">
        <f t="shared" si="11"/>
        <v>0</v>
      </c>
    </row>
    <row r="503" spans="2:6" x14ac:dyDescent="0.25">
      <c r="B503" s="1"/>
      <c r="C503" s="1"/>
      <c r="D503" s="1"/>
      <c r="E503" s="1"/>
      <c r="F503" s="24">
        <f t="shared" si="11"/>
        <v>0</v>
      </c>
    </row>
    <row r="504" spans="2:6" x14ac:dyDescent="0.25">
      <c r="B504" s="1"/>
      <c r="C504" s="1"/>
      <c r="D504" s="1"/>
      <c r="E504" s="1"/>
      <c r="F504" s="24">
        <f t="shared" si="11"/>
        <v>0</v>
      </c>
    </row>
    <row r="505" spans="2:6" x14ac:dyDescent="0.25">
      <c r="B505" s="1"/>
      <c r="C505" s="1"/>
      <c r="D505" s="1"/>
      <c r="E505" s="1"/>
      <c r="F505" s="24">
        <f t="shared" si="11"/>
        <v>0</v>
      </c>
    </row>
    <row r="506" spans="2:6" x14ac:dyDescent="0.25">
      <c r="B506" s="10" t="s">
        <v>20</v>
      </c>
      <c r="C506" s="1"/>
      <c r="D506" s="1"/>
      <c r="E506" s="4">
        <f>SUM(E493:E505)</f>
        <v>3124</v>
      </c>
      <c r="F506" s="22">
        <f>SUM(F493:F505)</f>
        <v>59.454480401336781</v>
      </c>
    </row>
    <row r="507" spans="2:6" x14ac:dyDescent="0.25">
      <c r="B507" s="4" t="s">
        <v>22</v>
      </c>
      <c r="C507" s="6"/>
      <c r="D507" s="6"/>
      <c r="E507" s="6"/>
      <c r="F507" s="23">
        <f>F491+F506</f>
        <v>76.184480401336771</v>
      </c>
    </row>
    <row r="508" spans="2:6" x14ac:dyDescent="0.25">
      <c r="B508" s="7"/>
      <c r="C508" s="7"/>
      <c r="D508" s="7"/>
      <c r="E508" s="7"/>
      <c r="F508" s="7"/>
    </row>
    <row r="509" spans="2:6" x14ac:dyDescent="0.25">
      <c r="B509" s="13"/>
      <c r="C509" s="13"/>
      <c r="D509" s="13"/>
      <c r="E509" s="13"/>
      <c r="F509" s="13"/>
    </row>
    <row r="510" spans="2:6" x14ac:dyDescent="0.25">
      <c r="B510" s="13"/>
      <c r="C510" s="13"/>
      <c r="D510" s="13"/>
      <c r="E510" s="13"/>
      <c r="F510" s="13"/>
    </row>
    <row r="511" spans="2:6" x14ac:dyDescent="0.25">
      <c r="B511" s="39" t="s">
        <v>23</v>
      </c>
      <c r="C511" s="38"/>
      <c r="D511" s="38"/>
      <c r="E511" s="39" t="s">
        <v>24</v>
      </c>
      <c r="F511" s="38"/>
    </row>
    <row r="513" spans="2:6" ht="34.9" customHeight="1" x14ac:dyDescent="0.25">
      <c r="B513" s="37" t="s">
        <v>157</v>
      </c>
      <c r="C513" s="37"/>
      <c r="D513" s="37"/>
      <c r="E513" s="37"/>
      <c r="F513" s="37"/>
    </row>
    <row r="514" spans="2:6" ht="30.6" customHeight="1" x14ac:dyDescent="0.25">
      <c r="B514" s="37" t="s">
        <v>1</v>
      </c>
      <c r="C514" s="37"/>
      <c r="D514" s="37"/>
      <c r="E514" s="37"/>
      <c r="F514" s="37"/>
    </row>
    <row r="515" spans="2:6" x14ac:dyDescent="0.25">
      <c r="B515" s="14" t="s">
        <v>0</v>
      </c>
      <c r="C515" s="14"/>
      <c r="D515" s="14"/>
      <c r="E515" s="14"/>
      <c r="F515" s="14"/>
    </row>
    <row r="516" spans="2:6" x14ac:dyDescent="0.25">
      <c r="B516" s="12"/>
      <c r="C516" s="38" t="s">
        <v>25</v>
      </c>
      <c r="D516" s="38"/>
      <c r="E516" s="12">
        <v>2819.1</v>
      </c>
      <c r="F516" s="12" t="s">
        <v>26</v>
      </c>
    </row>
    <row r="518" spans="2:6" ht="60" x14ac:dyDescent="0.25">
      <c r="B518" s="1" t="s">
        <v>2</v>
      </c>
      <c r="C518" s="1" t="s">
        <v>4</v>
      </c>
      <c r="D518" s="1" t="s">
        <v>3</v>
      </c>
      <c r="E518" s="1" t="s">
        <v>447</v>
      </c>
      <c r="F518" s="1" t="s">
        <v>5</v>
      </c>
    </row>
    <row r="519" spans="2:6" x14ac:dyDescent="0.25">
      <c r="B519" s="1"/>
      <c r="C519" s="1"/>
      <c r="D519" s="1"/>
      <c r="E519" s="1"/>
      <c r="F519" s="1"/>
    </row>
    <row r="520" spans="2:6" x14ac:dyDescent="0.25">
      <c r="B520" s="3" t="s">
        <v>6</v>
      </c>
      <c r="C520" s="1"/>
      <c r="D520" s="1"/>
      <c r="E520" s="1"/>
      <c r="F520" s="1"/>
    </row>
    <row r="521" spans="2:6" x14ac:dyDescent="0.25">
      <c r="B521" s="5" t="s">
        <v>7</v>
      </c>
      <c r="C521" s="1"/>
      <c r="D521" s="1"/>
      <c r="E521" s="1"/>
      <c r="F521" s="5">
        <v>2.0099999999999998</v>
      </c>
    </row>
    <row r="522" spans="2:6" x14ac:dyDescent="0.25">
      <c r="B522" s="5" t="s">
        <v>8</v>
      </c>
      <c r="C522" s="1"/>
      <c r="D522" s="1"/>
      <c r="E522" s="1"/>
      <c r="F522" s="5">
        <v>5.34</v>
      </c>
    </row>
    <row r="523" spans="2:6" x14ac:dyDescent="0.25">
      <c r="B523" s="15" t="s">
        <v>30</v>
      </c>
      <c r="C523" s="1"/>
      <c r="D523" s="1"/>
      <c r="E523" s="1"/>
      <c r="F523" s="5">
        <v>0.06</v>
      </c>
    </row>
    <row r="524" spans="2:6" ht="24.75" x14ac:dyDescent="0.25">
      <c r="B524" s="5" t="s">
        <v>11</v>
      </c>
      <c r="C524" s="1"/>
      <c r="D524" s="1"/>
      <c r="E524" s="1"/>
      <c r="F524" s="5">
        <v>0.55000000000000004</v>
      </c>
    </row>
    <row r="525" spans="2:6" ht="24.75" x14ac:dyDescent="0.25">
      <c r="B525" s="5" t="s">
        <v>12</v>
      </c>
      <c r="C525" s="1"/>
      <c r="D525" s="1"/>
      <c r="E525" s="1"/>
      <c r="F525" s="5">
        <v>0.53</v>
      </c>
    </row>
    <row r="526" spans="2:6" ht="24.75" x14ac:dyDescent="0.25">
      <c r="B526" s="5" t="s">
        <v>13</v>
      </c>
      <c r="C526" s="1"/>
      <c r="D526" s="1"/>
      <c r="E526" s="1"/>
      <c r="F526" s="5">
        <v>0.19</v>
      </c>
    </row>
    <row r="527" spans="2:6" ht="24.75" x14ac:dyDescent="0.25">
      <c r="B527" s="5" t="s">
        <v>14</v>
      </c>
      <c r="C527" s="1"/>
      <c r="D527" s="1"/>
      <c r="E527" s="1"/>
      <c r="F527" s="5">
        <v>1.25</v>
      </c>
    </row>
    <row r="528" spans="2:6" ht="24.75" x14ac:dyDescent="0.25">
      <c r="B528" s="5" t="s">
        <v>9</v>
      </c>
      <c r="C528" s="1"/>
      <c r="D528" s="1"/>
      <c r="E528" s="1"/>
      <c r="F528" s="5">
        <v>0.26</v>
      </c>
    </row>
    <row r="529" spans="2:6" ht="24.75" x14ac:dyDescent="0.25">
      <c r="B529" s="5" t="s">
        <v>15</v>
      </c>
      <c r="C529" s="1"/>
      <c r="D529" s="1"/>
      <c r="E529" s="1"/>
      <c r="F529" s="5">
        <v>0.01</v>
      </c>
    </row>
    <row r="530" spans="2:6" ht="24.75" x14ac:dyDescent="0.25">
      <c r="B530" s="5" t="s">
        <v>16</v>
      </c>
      <c r="C530" s="1"/>
      <c r="D530" s="1"/>
      <c r="E530" s="1"/>
      <c r="F530" s="5">
        <v>0.28999999999999998</v>
      </c>
    </row>
    <row r="531" spans="2:6" x14ac:dyDescent="0.25">
      <c r="B531" s="5" t="s">
        <v>17</v>
      </c>
      <c r="C531" s="1"/>
      <c r="D531" s="1"/>
      <c r="E531" s="1"/>
      <c r="F531" s="5">
        <v>0.32</v>
      </c>
    </row>
    <row r="532" spans="2:6" x14ac:dyDescent="0.25">
      <c r="B532" s="5" t="s">
        <v>18</v>
      </c>
      <c r="C532" s="1"/>
      <c r="D532" s="1"/>
      <c r="E532" s="1"/>
      <c r="F532" s="5">
        <v>1.97</v>
      </c>
    </row>
    <row r="533" spans="2:6" x14ac:dyDescent="0.25">
      <c r="B533" s="5" t="s">
        <v>19</v>
      </c>
      <c r="C533" s="1"/>
      <c r="D533" s="1"/>
      <c r="E533" s="1"/>
      <c r="F533" s="5">
        <v>3.95</v>
      </c>
    </row>
    <row r="534" spans="2:6" x14ac:dyDescent="0.25">
      <c r="B534" s="10" t="s">
        <v>20</v>
      </c>
      <c r="C534" s="1"/>
      <c r="D534" s="1"/>
      <c r="E534" s="1"/>
      <c r="F534" s="4">
        <f>SUM(F521:F533)</f>
        <v>16.729999999999997</v>
      </c>
    </row>
    <row r="535" spans="2:6" x14ac:dyDescent="0.25">
      <c r="B535" s="3" t="s">
        <v>21</v>
      </c>
      <c r="C535" s="1"/>
      <c r="D535" s="1"/>
      <c r="E535" s="1"/>
      <c r="F535" s="1"/>
    </row>
    <row r="536" spans="2:6" x14ac:dyDescent="0.25">
      <c r="B536" s="1" t="s">
        <v>441</v>
      </c>
      <c r="C536" s="1" t="s">
        <v>256</v>
      </c>
      <c r="D536" s="1">
        <v>1</v>
      </c>
      <c r="E536" s="1">
        <v>60</v>
      </c>
      <c r="F536" s="24">
        <f>E536/2819.1*1000/12</f>
        <v>1.7736156929516513</v>
      </c>
    </row>
    <row r="537" spans="2:6" x14ac:dyDescent="0.25">
      <c r="B537" s="1" t="s">
        <v>373</v>
      </c>
      <c r="C537" s="1" t="s">
        <v>265</v>
      </c>
      <c r="D537" s="1">
        <v>0.4</v>
      </c>
      <c r="E537" s="1">
        <v>20</v>
      </c>
      <c r="F537" s="24">
        <f t="shared" ref="F537:F548" si="12">E537/2819.1*1000/12</f>
        <v>0.59120523098388378</v>
      </c>
    </row>
    <row r="538" spans="2:6" x14ac:dyDescent="0.25">
      <c r="B538" s="1"/>
      <c r="C538" s="1"/>
      <c r="D538" s="1"/>
      <c r="E538" s="1"/>
      <c r="F538" s="24"/>
    </row>
    <row r="539" spans="2:6" x14ac:dyDescent="0.25">
      <c r="B539" s="1" t="s">
        <v>390</v>
      </c>
      <c r="C539" s="1" t="s">
        <v>261</v>
      </c>
      <c r="D539" s="1">
        <v>140</v>
      </c>
      <c r="E539" s="1">
        <v>182</v>
      </c>
      <c r="F539" s="24">
        <f t="shared" si="12"/>
        <v>5.379967601953342</v>
      </c>
    </row>
    <row r="540" spans="2:6" x14ac:dyDescent="0.25">
      <c r="B540" s="1" t="s">
        <v>319</v>
      </c>
      <c r="C540" s="1" t="s">
        <v>261</v>
      </c>
      <c r="D540" s="1">
        <v>136</v>
      </c>
      <c r="E540" s="1">
        <v>176.8</v>
      </c>
      <c r="F540" s="24">
        <f t="shared" si="12"/>
        <v>5.2262542418975331</v>
      </c>
    </row>
    <row r="541" spans="2:6" x14ac:dyDescent="0.25">
      <c r="B541" s="1" t="s">
        <v>325</v>
      </c>
      <c r="C541" s="1" t="s">
        <v>261</v>
      </c>
      <c r="D541" s="1">
        <v>136</v>
      </c>
      <c r="E541" s="1">
        <v>258.39999999999998</v>
      </c>
      <c r="F541" s="24">
        <f t="shared" si="12"/>
        <v>7.638371584311777</v>
      </c>
    </row>
    <row r="542" spans="2:6" x14ac:dyDescent="0.25">
      <c r="B542" s="1" t="s">
        <v>343</v>
      </c>
      <c r="C542" s="1" t="s">
        <v>256</v>
      </c>
      <c r="D542" s="1">
        <v>4</v>
      </c>
      <c r="E542" s="1">
        <v>600</v>
      </c>
      <c r="F542" s="24">
        <f t="shared" si="12"/>
        <v>17.736156929516515</v>
      </c>
    </row>
    <row r="543" spans="2:6" x14ac:dyDescent="0.25">
      <c r="B543" s="1" t="s">
        <v>322</v>
      </c>
      <c r="C543" s="1" t="s">
        <v>261</v>
      </c>
      <c r="D543" s="1">
        <v>300</v>
      </c>
      <c r="E543" s="1">
        <v>360</v>
      </c>
      <c r="F543" s="24">
        <f t="shared" si="12"/>
        <v>10.641694157709908</v>
      </c>
    </row>
    <row r="544" spans="2:6" x14ac:dyDescent="0.25">
      <c r="B544" s="1" t="s">
        <v>323</v>
      </c>
      <c r="C544" s="1" t="s">
        <v>261</v>
      </c>
      <c r="D544" s="1">
        <v>1100</v>
      </c>
      <c r="E544" s="1">
        <v>1100</v>
      </c>
      <c r="F544" s="24">
        <f t="shared" si="12"/>
        <v>32.516287704113601</v>
      </c>
    </row>
    <row r="545" spans="2:6" x14ac:dyDescent="0.25">
      <c r="B545" s="1"/>
      <c r="C545" s="1"/>
      <c r="D545" s="1"/>
      <c r="E545" s="1"/>
      <c r="F545" s="24">
        <f t="shared" si="12"/>
        <v>0</v>
      </c>
    </row>
    <row r="546" spans="2:6" x14ac:dyDescent="0.25">
      <c r="B546" s="1"/>
      <c r="C546" s="1"/>
      <c r="D546" s="1"/>
      <c r="E546" s="1"/>
      <c r="F546" s="24">
        <f t="shared" si="12"/>
        <v>0</v>
      </c>
    </row>
    <row r="547" spans="2:6" x14ac:dyDescent="0.25">
      <c r="B547" s="1"/>
      <c r="C547" s="1"/>
      <c r="D547" s="1"/>
      <c r="E547" s="1"/>
      <c r="F547" s="24">
        <f t="shared" si="12"/>
        <v>0</v>
      </c>
    </row>
    <row r="548" spans="2:6" x14ac:dyDescent="0.25">
      <c r="B548" s="1"/>
      <c r="C548" s="1"/>
      <c r="D548" s="1"/>
      <c r="E548" s="1"/>
      <c r="F548" s="24">
        <f t="shared" si="12"/>
        <v>0</v>
      </c>
    </row>
    <row r="549" spans="2:6" x14ac:dyDescent="0.25">
      <c r="B549" s="10" t="s">
        <v>20</v>
      </c>
      <c r="C549" s="1"/>
      <c r="D549" s="1"/>
      <c r="E549" s="4">
        <f>SUM(E536:E548)</f>
        <v>2757.2</v>
      </c>
      <c r="F549" s="22">
        <f>SUM(F536:F548)</f>
        <v>81.503553143438211</v>
      </c>
    </row>
    <row r="550" spans="2:6" x14ac:dyDescent="0.25">
      <c r="B550" s="4" t="s">
        <v>22</v>
      </c>
      <c r="C550" s="6"/>
      <c r="D550" s="6"/>
      <c r="E550" s="6"/>
      <c r="F550" s="23">
        <f>F534+F549</f>
        <v>98.233553143438201</v>
      </c>
    </row>
    <row r="551" spans="2:6" x14ac:dyDescent="0.25">
      <c r="B551" s="7"/>
      <c r="C551" s="7"/>
      <c r="D551" s="7"/>
      <c r="E551" s="7"/>
      <c r="F551" s="7"/>
    </row>
    <row r="552" spans="2:6" x14ac:dyDescent="0.25">
      <c r="B552" s="13"/>
      <c r="C552" s="13"/>
      <c r="D552" s="13"/>
      <c r="E552" s="13"/>
      <c r="F552" s="13"/>
    </row>
    <row r="553" spans="2:6" x14ac:dyDescent="0.25">
      <c r="B553" s="13"/>
      <c r="C553" s="13"/>
      <c r="D553" s="13"/>
      <c r="E553" s="13"/>
      <c r="F553" s="13"/>
    </row>
    <row r="554" spans="2:6" x14ac:dyDescent="0.25">
      <c r="B554" s="39" t="s">
        <v>23</v>
      </c>
      <c r="C554" s="38"/>
      <c r="D554" s="38"/>
      <c r="E554" s="39" t="s">
        <v>24</v>
      </c>
      <c r="F554" s="38"/>
    </row>
    <row r="556" spans="2:6" ht="30.6" customHeight="1" x14ac:dyDescent="0.25">
      <c r="B556" s="37" t="s">
        <v>158</v>
      </c>
      <c r="C556" s="37"/>
      <c r="D556" s="37"/>
      <c r="E556" s="37"/>
      <c r="F556" s="37"/>
    </row>
    <row r="557" spans="2:6" ht="31.15" customHeight="1" x14ac:dyDescent="0.25">
      <c r="B557" s="37" t="s">
        <v>1</v>
      </c>
      <c r="C557" s="37"/>
      <c r="D557" s="37"/>
      <c r="E557" s="37"/>
      <c r="F557" s="37"/>
    </row>
    <row r="558" spans="2:6" x14ac:dyDescent="0.25">
      <c r="B558" s="14" t="s">
        <v>0</v>
      </c>
      <c r="C558" s="14"/>
      <c r="D558" s="14"/>
      <c r="E558" s="14"/>
      <c r="F558" s="14"/>
    </row>
    <row r="559" spans="2:6" x14ac:dyDescent="0.25">
      <c r="B559" s="12"/>
      <c r="C559" s="38" t="s">
        <v>25</v>
      </c>
      <c r="D559" s="38"/>
      <c r="E559" s="12">
        <v>3643</v>
      </c>
      <c r="F559" s="12" t="s">
        <v>26</v>
      </c>
    </row>
    <row r="561" spans="2:6" ht="60" x14ac:dyDescent="0.25">
      <c r="B561" s="1" t="s">
        <v>2</v>
      </c>
      <c r="C561" s="1" t="s">
        <v>4</v>
      </c>
      <c r="D561" s="1" t="s">
        <v>3</v>
      </c>
      <c r="E561" s="1" t="s">
        <v>447</v>
      </c>
      <c r="F561" s="1" t="s">
        <v>5</v>
      </c>
    </row>
    <row r="562" spans="2:6" x14ac:dyDescent="0.25">
      <c r="B562" s="1"/>
      <c r="C562" s="1"/>
      <c r="D562" s="1"/>
      <c r="E562" s="1"/>
      <c r="F562" s="1"/>
    </row>
    <row r="563" spans="2:6" x14ac:dyDescent="0.25">
      <c r="B563" s="3" t="s">
        <v>6</v>
      </c>
      <c r="C563" s="1"/>
      <c r="D563" s="1"/>
      <c r="E563" s="1"/>
      <c r="F563" s="1"/>
    </row>
    <row r="564" spans="2:6" x14ac:dyDescent="0.25">
      <c r="B564" s="5" t="s">
        <v>7</v>
      </c>
      <c r="C564" s="1"/>
      <c r="D564" s="1"/>
      <c r="E564" s="1"/>
      <c r="F564" s="5">
        <v>2.0099999999999998</v>
      </c>
    </row>
    <row r="565" spans="2:6" x14ac:dyDescent="0.25">
      <c r="B565" s="5" t="s">
        <v>8</v>
      </c>
      <c r="C565" s="1"/>
      <c r="D565" s="1"/>
      <c r="E565" s="1"/>
      <c r="F565" s="5">
        <v>5.34</v>
      </c>
    </row>
    <row r="566" spans="2:6" x14ac:dyDescent="0.25">
      <c r="B566" s="15" t="s">
        <v>30</v>
      </c>
      <c r="C566" s="1"/>
      <c r="D566" s="1"/>
      <c r="E566" s="1"/>
      <c r="F566" s="5">
        <v>0.06</v>
      </c>
    </row>
    <row r="567" spans="2:6" ht="24.75" x14ac:dyDescent="0.25">
      <c r="B567" s="5" t="s">
        <v>11</v>
      </c>
      <c r="C567" s="1"/>
      <c r="D567" s="1"/>
      <c r="E567" s="1"/>
      <c r="F567" s="5">
        <v>0.55000000000000004</v>
      </c>
    </row>
    <row r="568" spans="2:6" ht="24.75" x14ac:dyDescent="0.25">
      <c r="B568" s="5" t="s">
        <v>12</v>
      </c>
      <c r="C568" s="1"/>
      <c r="D568" s="1"/>
      <c r="E568" s="1"/>
      <c r="F568" s="5">
        <v>0.53</v>
      </c>
    </row>
    <row r="569" spans="2:6" ht="24.75" x14ac:dyDescent="0.25">
      <c r="B569" s="5" t="s">
        <v>13</v>
      </c>
      <c r="C569" s="1"/>
      <c r="D569" s="1"/>
      <c r="E569" s="1"/>
      <c r="F569" s="5">
        <v>0.19</v>
      </c>
    </row>
    <row r="570" spans="2:6" ht="24.75" x14ac:dyDescent="0.25">
      <c r="B570" s="5" t="s">
        <v>14</v>
      </c>
      <c r="C570" s="1"/>
      <c r="D570" s="1"/>
      <c r="E570" s="1"/>
      <c r="F570" s="5">
        <v>1.25</v>
      </c>
    </row>
    <row r="571" spans="2:6" ht="24.75" x14ac:dyDescent="0.25">
      <c r="B571" s="5" t="s">
        <v>9</v>
      </c>
      <c r="C571" s="1"/>
      <c r="D571" s="1"/>
      <c r="E571" s="1"/>
      <c r="F571" s="5">
        <v>0.26</v>
      </c>
    </row>
    <row r="572" spans="2:6" ht="24.75" x14ac:dyDescent="0.25">
      <c r="B572" s="5" t="s">
        <v>15</v>
      </c>
      <c r="C572" s="1"/>
      <c r="D572" s="1"/>
      <c r="E572" s="1"/>
      <c r="F572" s="5">
        <v>0.01</v>
      </c>
    </row>
    <row r="573" spans="2:6" ht="24.75" x14ac:dyDescent="0.25">
      <c r="B573" s="5" t="s">
        <v>16</v>
      </c>
      <c r="C573" s="1"/>
      <c r="D573" s="1"/>
      <c r="E573" s="1"/>
      <c r="F573" s="5">
        <v>0.28999999999999998</v>
      </c>
    </row>
    <row r="574" spans="2:6" x14ac:dyDescent="0.25">
      <c r="B574" s="5" t="s">
        <v>17</v>
      </c>
      <c r="C574" s="1"/>
      <c r="D574" s="1"/>
      <c r="E574" s="1"/>
      <c r="F574" s="5">
        <v>0.32</v>
      </c>
    </row>
    <row r="575" spans="2:6" x14ac:dyDescent="0.25">
      <c r="B575" s="5" t="s">
        <v>18</v>
      </c>
      <c r="C575" s="1"/>
      <c r="D575" s="1"/>
      <c r="E575" s="1"/>
      <c r="F575" s="5">
        <v>1.97</v>
      </c>
    </row>
    <row r="576" spans="2:6" x14ac:dyDescent="0.25">
      <c r="B576" s="5" t="s">
        <v>19</v>
      </c>
      <c r="C576" s="1"/>
      <c r="D576" s="1"/>
      <c r="E576" s="1"/>
      <c r="F576" s="5">
        <v>3.95</v>
      </c>
    </row>
    <row r="577" spans="2:6" x14ac:dyDescent="0.25">
      <c r="B577" s="10" t="s">
        <v>20</v>
      </c>
      <c r="C577" s="1"/>
      <c r="D577" s="1"/>
      <c r="E577" s="1"/>
      <c r="F577" s="4">
        <f>SUM(F564:F576)</f>
        <v>16.729999999999997</v>
      </c>
    </row>
    <row r="578" spans="2:6" x14ac:dyDescent="0.25">
      <c r="B578" s="3" t="s">
        <v>21</v>
      </c>
      <c r="C578" s="1"/>
      <c r="D578" s="1"/>
      <c r="E578" s="1"/>
      <c r="F578" s="1"/>
    </row>
    <row r="579" spans="2:6" x14ac:dyDescent="0.25">
      <c r="B579" s="1" t="s">
        <v>317</v>
      </c>
      <c r="C579" s="1" t="s">
        <v>256</v>
      </c>
      <c r="D579" s="1">
        <v>1</v>
      </c>
      <c r="E579" s="1">
        <v>60</v>
      </c>
      <c r="F579" s="24">
        <f>E579/3643*1000/12</f>
        <v>1.3724951962668133</v>
      </c>
    </row>
    <row r="580" spans="2:6" x14ac:dyDescent="0.25">
      <c r="B580" s="1" t="s">
        <v>442</v>
      </c>
      <c r="C580" s="1" t="s">
        <v>261</v>
      </c>
      <c r="D580" s="1">
        <v>60</v>
      </c>
      <c r="E580" s="1">
        <v>60</v>
      </c>
      <c r="F580" s="24">
        <f t="shared" ref="F580:F590" si="13">E580/3643*1000/12</f>
        <v>1.3724951962668133</v>
      </c>
    </row>
    <row r="581" spans="2:6" x14ac:dyDescent="0.25">
      <c r="B581" s="1" t="s">
        <v>390</v>
      </c>
      <c r="C581" s="1" t="s">
        <v>261</v>
      </c>
      <c r="D581" s="1">
        <v>120</v>
      </c>
      <c r="E581" s="1">
        <v>156</v>
      </c>
      <c r="F581" s="24">
        <f t="shared" si="13"/>
        <v>3.5684875102937141</v>
      </c>
    </row>
    <row r="582" spans="2:6" x14ac:dyDescent="0.25">
      <c r="B582" s="1" t="s">
        <v>319</v>
      </c>
      <c r="C582" s="1" t="s">
        <v>261</v>
      </c>
      <c r="D582" s="1">
        <v>140</v>
      </c>
      <c r="E582" s="1">
        <v>182</v>
      </c>
      <c r="F582" s="24">
        <f t="shared" si="13"/>
        <v>4.1632354286759998</v>
      </c>
    </row>
    <row r="583" spans="2:6" x14ac:dyDescent="0.25">
      <c r="B583" s="1" t="s">
        <v>330</v>
      </c>
      <c r="C583" s="1" t="s">
        <v>261</v>
      </c>
      <c r="D583" s="1">
        <v>30</v>
      </c>
      <c r="E583" s="1">
        <v>57</v>
      </c>
      <c r="F583" s="24">
        <f t="shared" si="13"/>
        <v>1.3038704364534723</v>
      </c>
    </row>
    <row r="584" spans="2:6" x14ac:dyDescent="0.25">
      <c r="B584" s="1" t="s">
        <v>325</v>
      </c>
      <c r="C584" s="1" t="s">
        <v>261</v>
      </c>
      <c r="D584" s="1">
        <v>60</v>
      </c>
      <c r="E584" s="1">
        <v>114</v>
      </c>
      <c r="F584" s="24">
        <f t="shared" si="13"/>
        <v>2.6077408729069447</v>
      </c>
    </row>
    <row r="585" spans="2:6" x14ac:dyDescent="0.25">
      <c r="B585" s="1" t="s">
        <v>339</v>
      </c>
      <c r="C585" s="1" t="s">
        <v>265</v>
      </c>
      <c r="D585" s="1">
        <v>24</v>
      </c>
      <c r="E585" s="1">
        <v>192</v>
      </c>
      <c r="F585" s="24">
        <f t="shared" si="13"/>
        <v>4.3919846280538026</v>
      </c>
    </row>
    <row r="586" spans="2:6" x14ac:dyDescent="0.25">
      <c r="B586" s="1" t="s">
        <v>343</v>
      </c>
      <c r="C586" s="1" t="s">
        <v>256</v>
      </c>
      <c r="D586" s="1">
        <v>6</v>
      </c>
      <c r="E586" s="1">
        <v>900</v>
      </c>
      <c r="F586" s="24">
        <f t="shared" si="13"/>
        <v>20.587427944002197</v>
      </c>
    </row>
    <row r="587" spans="2:6" x14ac:dyDescent="0.25">
      <c r="B587" s="1" t="s">
        <v>322</v>
      </c>
      <c r="C587" s="1" t="s">
        <v>261</v>
      </c>
      <c r="D587" s="1">
        <v>350</v>
      </c>
      <c r="E587" s="1">
        <v>420</v>
      </c>
      <c r="F587" s="24">
        <f t="shared" si="13"/>
        <v>9.6074663738676911</v>
      </c>
    </row>
    <row r="588" spans="2:6" x14ac:dyDescent="0.25">
      <c r="B588" s="1" t="s">
        <v>323</v>
      </c>
      <c r="C588" s="1" t="s">
        <v>261</v>
      </c>
      <c r="D588" s="1">
        <v>850</v>
      </c>
      <c r="E588" s="1">
        <v>850</v>
      </c>
      <c r="F588" s="24">
        <f t="shared" si="13"/>
        <v>19.443681947113188</v>
      </c>
    </row>
    <row r="589" spans="2:6" x14ac:dyDescent="0.25">
      <c r="B589" s="1"/>
      <c r="C589" s="1"/>
      <c r="D589" s="1"/>
      <c r="E589" s="1"/>
      <c r="F589" s="24">
        <f t="shared" si="13"/>
        <v>0</v>
      </c>
    </row>
    <row r="590" spans="2:6" x14ac:dyDescent="0.25">
      <c r="B590" s="1"/>
      <c r="C590" s="1"/>
      <c r="D590" s="1"/>
      <c r="E590" s="1"/>
      <c r="F590" s="24">
        <f t="shared" si="13"/>
        <v>0</v>
      </c>
    </row>
    <row r="591" spans="2:6" x14ac:dyDescent="0.25">
      <c r="B591" s="10" t="s">
        <v>20</v>
      </c>
      <c r="C591" s="1"/>
      <c r="D591" s="1"/>
      <c r="E591" s="4">
        <f>SUM(E579:E590)</f>
        <v>2991</v>
      </c>
      <c r="F591" s="22">
        <f>SUM(F579:F590)</f>
        <v>68.418885533900635</v>
      </c>
    </row>
    <row r="592" spans="2:6" x14ac:dyDescent="0.25">
      <c r="B592" s="4" t="s">
        <v>22</v>
      </c>
      <c r="C592" s="6"/>
      <c r="D592" s="6"/>
      <c r="E592" s="6"/>
      <c r="F592" s="23">
        <f>F577+F591</f>
        <v>85.148885533900625</v>
      </c>
    </row>
    <row r="593" spans="2:6" x14ac:dyDescent="0.25">
      <c r="B593" s="7"/>
      <c r="C593" s="7"/>
      <c r="D593" s="7"/>
      <c r="E593" s="7"/>
      <c r="F593" s="7"/>
    </row>
    <row r="594" spans="2:6" x14ac:dyDescent="0.25">
      <c r="B594" s="13"/>
      <c r="C594" s="13"/>
      <c r="D594" s="13"/>
      <c r="E594" s="13"/>
      <c r="F594" s="13"/>
    </row>
    <row r="595" spans="2:6" x14ac:dyDescent="0.25">
      <c r="B595" s="13"/>
      <c r="C595" s="13"/>
      <c r="D595" s="13"/>
      <c r="E595" s="13"/>
      <c r="F595" s="13"/>
    </row>
    <row r="596" spans="2:6" x14ac:dyDescent="0.25">
      <c r="B596" s="39" t="s">
        <v>23</v>
      </c>
      <c r="C596" s="38"/>
      <c r="D596" s="38"/>
      <c r="E596" s="39" t="s">
        <v>24</v>
      </c>
      <c r="F596" s="38"/>
    </row>
  </sheetData>
  <mergeCells count="70">
    <mergeCell ref="B86:F86"/>
    <mergeCell ref="B1:F1"/>
    <mergeCell ref="B2:F2"/>
    <mergeCell ref="C4:D4"/>
    <mergeCell ref="B41:D41"/>
    <mergeCell ref="E41:F41"/>
    <mergeCell ref="B43:F43"/>
    <mergeCell ref="B44:F44"/>
    <mergeCell ref="C46:D46"/>
    <mergeCell ref="B83:D83"/>
    <mergeCell ref="E83:F83"/>
    <mergeCell ref="B85:F85"/>
    <mergeCell ref="C174:D174"/>
    <mergeCell ref="C88:D88"/>
    <mergeCell ref="E126:F126"/>
    <mergeCell ref="B126:D126"/>
    <mergeCell ref="B128:F128"/>
    <mergeCell ref="B129:F129"/>
    <mergeCell ref="C131:D131"/>
    <mergeCell ref="B169:D169"/>
    <mergeCell ref="E169:F169"/>
    <mergeCell ref="B171:F171"/>
    <mergeCell ref="B172:F172"/>
    <mergeCell ref="B299:F299"/>
    <mergeCell ref="B211:D211"/>
    <mergeCell ref="E211:F211"/>
    <mergeCell ref="B213:F213"/>
    <mergeCell ref="B214:F214"/>
    <mergeCell ref="C216:D216"/>
    <mergeCell ref="B254:D254"/>
    <mergeCell ref="E254:F254"/>
    <mergeCell ref="B256:F256"/>
    <mergeCell ref="B257:F257"/>
    <mergeCell ref="C259:D259"/>
    <mergeCell ref="B297:D297"/>
    <mergeCell ref="E297:F297"/>
    <mergeCell ref="C388:D388"/>
    <mergeCell ref="B300:F300"/>
    <mergeCell ref="C302:D302"/>
    <mergeCell ref="B340:D340"/>
    <mergeCell ref="E340:F340"/>
    <mergeCell ref="B342:F342"/>
    <mergeCell ref="B343:F343"/>
    <mergeCell ref="C345:D345"/>
    <mergeCell ref="B383:D383"/>
    <mergeCell ref="E383:F383"/>
    <mergeCell ref="B385:F385"/>
    <mergeCell ref="B386:F386"/>
    <mergeCell ref="B513:F513"/>
    <mergeCell ref="B425:D425"/>
    <mergeCell ref="E425:F425"/>
    <mergeCell ref="B427:F427"/>
    <mergeCell ref="B428:F428"/>
    <mergeCell ref="C430:D430"/>
    <mergeCell ref="B468:D468"/>
    <mergeCell ref="E468:F468"/>
    <mergeCell ref="B470:F470"/>
    <mergeCell ref="B471:F471"/>
    <mergeCell ref="C473:D473"/>
    <mergeCell ref="B511:D511"/>
    <mergeCell ref="E511:F511"/>
    <mergeCell ref="C559:D559"/>
    <mergeCell ref="B596:D596"/>
    <mergeCell ref="E596:F596"/>
    <mergeCell ref="B514:F514"/>
    <mergeCell ref="C516:D516"/>
    <mergeCell ref="B554:D554"/>
    <mergeCell ref="E554:F554"/>
    <mergeCell ref="B556:F556"/>
    <mergeCell ref="B557:F55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1"/>
  <sheetViews>
    <sheetView topLeftCell="A13" workbookViewId="0">
      <selection activeCell="F30" sqref="F30"/>
    </sheetView>
  </sheetViews>
  <sheetFormatPr defaultRowHeight="15" x14ac:dyDescent="0.25"/>
  <cols>
    <col min="2" max="2" width="37.28515625" customWidth="1"/>
    <col min="6" max="6" width="11.42578125" bestFit="1" customWidth="1"/>
  </cols>
  <sheetData>
    <row r="1" spans="2:6" ht="36" customHeight="1" x14ac:dyDescent="0.25">
      <c r="B1" s="37" t="s">
        <v>159</v>
      </c>
      <c r="C1" s="37"/>
      <c r="D1" s="37"/>
      <c r="E1" s="37"/>
      <c r="F1" s="37"/>
    </row>
    <row r="2" spans="2:6" ht="30.6" customHeight="1" x14ac:dyDescent="0.25">
      <c r="B2" s="37" t="s">
        <v>1</v>
      </c>
      <c r="C2" s="37"/>
      <c r="D2" s="37"/>
      <c r="E2" s="37"/>
      <c r="F2" s="37"/>
    </row>
    <row r="3" spans="2:6" x14ac:dyDescent="0.25">
      <c r="B3" s="14" t="s">
        <v>0</v>
      </c>
      <c r="C3" s="14"/>
      <c r="D3" s="14"/>
      <c r="E3" s="14"/>
      <c r="F3" s="14"/>
    </row>
    <row r="4" spans="2:6" x14ac:dyDescent="0.25">
      <c r="B4" s="12"/>
      <c r="C4" s="38" t="s">
        <v>25</v>
      </c>
      <c r="D4" s="38"/>
      <c r="E4" s="12">
        <v>549.20000000000005</v>
      </c>
      <c r="F4" s="12" t="s">
        <v>26</v>
      </c>
    </row>
    <row r="6" spans="2:6" ht="60" x14ac:dyDescent="0.25">
      <c r="B6" s="1" t="s">
        <v>2</v>
      </c>
      <c r="C6" s="1" t="s">
        <v>4</v>
      </c>
      <c r="D6" s="1" t="s">
        <v>3</v>
      </c>
      <c r="E6" s="1" t="s">
        <v>447</v>
      </c>
      <c r="F6" s="1" t="s">
        <v>5</v>
      </c>
    </row>
    <row r="7" spans="2:6" x14ac:dyDescent="0.25">
      <c r="B7" s="1"/>
      <c r="C7" s="1"/>
      <c r="D7" s="1"/>
      <c r="E7" s="1"/>
      <c r="F7" s="1"/>
    </row>
    <row r="8" spans="2:6" x14ac:dyDescent="0.25">
      <c r="B8" s="3" t="s">
        <v>6</v>
      </c>
      <c r="C8" s="1"/>
      <c r="D8" s="1"/>
      <c r="E8" s="1"/>
      <c r="F8" s="1"/>
    </row>
    <row r="9" spans="2:6" x14ac:dyDescent="0.25">
      <c r="B9" s="5" t="s">
        <v>7</v>
      </c>
      <c r="C9" s="1"/>
      <c r="D9" s="1"/>
      <c r="E9" s="1"/>
      <c r="F9" s="5">
        <v>2.0099999999999998</v>
      </c>
    </row>
    <row r="10" spans="2:6" x14ac:dyDescent="0.25">
      <c r="B10" s="5" t="s">
        <v>8</v>
      </c>
      <c r="C10" s="1"/>
      <c r="D10" s="1"/>
      <c r="E10" s="1"/>
      <c r="F10" s="5">
        <v>5.34</v>
      </c>
    </row>
    <row r="11" spans="2:6" ht="24.75" x14ac:dyDescent="0.25">
      <c r="B11" s="5" t="s">
        <v>11</v>
      </c>
      <c r="C11" s="1"/>
      <c r="D11" s="1"/>
      <c r="E11" s="1"/>
      <c r="F11" s="5">
        <v>0.55000000000000004</v>
      </c>
    </row>
    <row r="12" spans="2:6" ht="24.75" x14ac:dyDescent="0.25">
      <c r="B12" s="5" t="s">
        <v>12</v>
      </c>
      <c r="C12" s="1"/>
      <c r="D12" s="1"/>
      <c r="E12" s="1"/>
      <c r="F12" s="5">
        <v>0.53</v>
      </c>
    </row>
    <row r="13" spans="2:6" ht="24.75" x14ac:dyDescent="0.25">
      <c r="B13" s="5" t="s">
        <v>13</v>
      </c>
      <c r="C13" s="1"/>
      <c r="D13" s="1"/>
      <c r="E13" s="1"/>
      <c r="F13" s="5">
        <v>0.19</v>
      </c>
    </row>
    <row r="14" spans="2:6" ht="24.75" x14ac:dyDescent="0.25">
      <c r="B14" s="5" t="s">
        <v>14</v>
      </c>
      <c r="C14" s="1"/>
      <c r="D14" s="1"/>
      <c r="E14" s="1"/>
      <c r="F14" s="5">
        <v>1.25</v>
      </c>
    </row>
    <row r="15" spans="2:6" ht="24.75" x14ac:dyDescent="0.25">
      <c r="B15" s="5" t="s">
        <v>9</v>
      </c>
      <c r="C15" s="1"/>
      <c r="D15" s="1"/>
      <c r="E15" s="1"/>
      <c r="F15" s="5">
        <v>0.26</v>
      </c>
    </row>
    <row r="16" spans="2:6" ht="24.75" x14ac:dyDescent="0.25">
      <c r="B16" s="5" t="s">
        <v>15</v>
      </c>
      <c r="C16" s="1"/>
      <c r="D16" s="1"/>
      <c r="E16" s="1"/>
      <c r="F16" s="5">
        <v>0.27</v>
      </c>
    </row>
    <row r="17" spans="2:6" ht="24.75" x14ac:dyDescent="0.25">
      <c r="B17" s="5" t="s">
        <v>16</v>
      </c>
      <c r="C17" s="1"/>
      <c r="D17" s="1"/>
      <c r="E17" s="1"/>
      <c r="F17" s="5">
        <v>0.28999999999999998</v>
      </c>
    </row>
    <row r="18" spans="2:6" x14ac:dyDescent="0.25">
      <c r="B18" s="5" t="s">
        <v>17</v>
      </c>
      <c r="C18" s="1"/>
      <c r="D18" s="1"/>
      <c r="E18" s="1"/>
      <c r="F18" s="5">
        <v>0.32</v>
      </c>
    </row>
    <row r="19" spans="2:6" x14ac:dyDescent="0.25">
      <c r="B19" s="5" t="s">
        <v>18</v>
      </c>
      <c r="C19" s="1"/>
      <c r="D19" s="1"/>
      <c r="E19" s="1"/>
      <c r="F19" s="5">
        <v>1.97</v>
      </c>
    </row>
    <row r="20" spans="2:6" x14ac:dyDescent="0.25">
      <c r="B20" s="5" t="s">
        <v>19</v>
      </c>
      <c r="C20" s="1"/>
      <c r="D20" s="1"/>
      <c r="E20" s="1"/>
      <c r="F20" s="5">
        <v>3.95</v>
      </c>
    </row>
    <row r="21" spans="2:6" x14ac:dyDescent="0.25">
      <c r="B21" s="10" t="s">
        <v>20</v>
      </c>
      <c r="C21" s="1"/>
      <c r="D21" s="1"/>
      <c r="E21" s="1"/>
      <c r="F21" s="4">
        <f>SUM(F9:F20)</f>
        <v>16.93</v>
      </c>
    </row>
    <row r="22" spans="2:6" x14ac:dyDescent="0.25">
      <c r="B22" s="3" t="s">
        <v>21</v>
      </c>
      <c r="C22" s="1"/>
      <c r="D22" s="1"/>
      <c r="E22" s="1"/>
      <c r="F22" s="1"/>
    </row>
    <row r="23" spans="2:6" x14ac:dyDescent="0.25">
      <c r="B23" s="1" t="s">
        <v>317</v>
      </c>
      <c r="C23" s="1" t="s">
        <v>256</v>
      </c>
      <c r="D23" s="1">
        <v>1</v>
      </c>
      <c r="E23" s="1">
        <v>45</v>
      </c>
      <c r="F23" s="24">
        <f>E23/549.2*1000/12</f>
        <v>6.8281136198106331</v>
      </c>
    </row>
    <row r="24" spans="2:6" x14ac:dyDescent="0.25">
      <c r="B24" s="1" t="s">
        <v>327</v>
      </c>
      <c r="C24" s="1" t="s">
        <v>261</v>
      </c>
      <c r="D24" s="1">
        <v>85</v>
      </c>
      <c r="E24" s="1">
        <v>85</v>
      </c>
      <c r="F24" s="24">
        <f t="shared" ref="F24:F35" si="0">E24/549.2*1000/12</f>
        <v>12.897547948531196</v>
      </c>
    </row>
    <row r="25" spans="2:6" x14ac:dyDescent="0.25">
      <c r="B25" s="1" t="s">
        <v>275</v>
      </c>
      <c r="C25" s="1" t="s">
        <v>26</v>
      </c>
      <c r="D25" s="1">
        <v>42</v>
      </c>
      <c r="E25" s="1">
        <v>63</v>
      </c>
      <c r="F25" s="24">
        <f t="shared" si="0"/>
        <v>9.5593590677348868</v>
      </c>
    </row>
    <row r="26" spans="2:6" x14ac:dyDescent="0.25">
      <c r="B26" s="1" t="s">
        <v>390</v>
      </c>
      <c r="C26" s="1" t="s">
        <v>261</v>
      </c>
      <c r="D26" s="1">
        <v>30</v>
      </c>
      <c r="E26" s="1">
        <v>39</v>
      </c>
      <c r="F26" s="24">
        <f t="shared" si="0"/>
        <v>5.9176984705025495</v>
      </c>
    </row>
    <row r="27" spans="2:6" x14ac:dyDescent="0.25">
      <c r="B27" s="1" t="s">
        <v>319</v>
      </c>
      <c r="C27" s="1" t="s">
        <v>261</v>
      </c>
      <c r="D27" s="1">
        <v>24</v>
      </c>
      <c r="E27" s="1">
        <v>31.2</v>
      </c>
      <c r="F27" s="24">
        <f t="shared" si="0"/>
        <v>4.7341587764020385</v>
      </c>
    </row>
    <row r="28" spans="2:6" x14ac:dyDescent="0.25">
      <c r="B28" s="1" t="s">
        <v>320</v>
      </c>
      <c r="C28" s="1" t="s">
        <v>261</v>
      </c>
      <c r="D28" s="1">
        <v>30</v>
      </c>
      <c r="E28" s="1">
        <v>57</v>
      </c>
      <c r="F28" s="24">
        <f t="shared" si="0"/>
        <v>8.6489439184268004</v>
      </c>
    </row>
    <row r="29" spans="2:6" x14ac:dyDescent="0.25">
      <c r="B29" s="1" t="s">
        <v>325</v>
      </c>
      <c r="C29" s="1" t="s">
        <v>261</v>
      </c>
      <c r="D29" s="1">
        <v>30</v>
      </c>
      <c r="E29" s="1">
        <v>57</v>
      </c>
      <c r="F29" s="24">
        <f t="shared" si="0"/>
        <v>8.6489439184268004</v>
      </c>
    </row>
    <row r="30" spans="2:6" x14ac:dyDescent="0.25">
      <c r="B30" s="1" t="s">
        <v>343</v>
      </c>
      <c r="C30" s="1" t="s">
        <v>256</v>
      </c>
      <c r="D30" s="1">
        <v>1</v>
      </c>
      <c r="E30" s="1">
        <v>50</v>
      </c>
      <c r="F30" s="24">
        <f t="shared" si="0"/>
        <v>7.5867929109007024</v>
      </c>
    </row>
    <row r="31" spans="2:6" x14ac:dyDescent="0.25">
      <c r="B31" s="1"/>
      <c r="C31" s="1"/>
      <c r="D31" s="1"/>
      <c r="E31" s="1"/>
      <c r="F31" s="24">
        <f t="shared" si="0"/>
        <v>0</v>
      </c>
    </row>
    <row r="32" spans="2:6" x14ac:dyDescent="0.25">
      <c r="B32" s="1"/>
      <c r="C32" s="1"/>
      <c r="D32" s="1"/>
      <c r="E32" s="1"/>
      <c r="F32" s="24">
        <f t="shared" si="0"/>
        <v>0</v>
      </c>
    </row>
    <row r="33" spans="2:6" x14ac:dyDescent="0.25">
      <c r="B33" s="1"/>
      <c r="C33" s="1"/>
      <c r="D33" s="1"/>
      <c r="E33" s="1"/>
      <c r="F33" s="24">
        <f t="shared" si="0"/>
        <v>0</v>
      </c>
    </row>
    <row r="34" spans="2:6" x14ac:dyDescent="0.25">
      <c r="B34" s="1"/>
      <c r="C34" s="1"/>
      <c r="D34" s="1"/>
      <c r="E34" s="1"/>
      <c r="F34" s="24">
        <f t="shared" si="0"/>
        <v>0</v>
      </c>
    </row>
    <row r="35" spans="2:6" x14ac:dyDescent="0.25">
      <c r="B35" s="1"/>
      <c r="C35" s="1"/>
      <c r="D35" s="1"/>
      <c r="E35" s="1"/>
      <c r="F35" s="24">
        <f t="shared" si="0"/>
        <v>0</v>
      </c>
    </row>
    <row r="36" spans="2:6" x14ac:dyDescent="0.25">
      <c r="B36" s="10" t="s">
        <v>20</v>
      </c>
      <c r="C36" s="1"/>
      <c r="D36" s="1"/>
      <c r="E36" s="4">
        <f>SUM(E23:E35)</f>
        <v>427.2</v>
      </c>
      <c r="F36" s="22">
        <f>SUM(F23:F35)</f>
        <v>64.821558630735609</v>
      </c>
    </row>
    <row r="37" spans="2:6" x14ac:dyDescent="0.25">
      <c r="B37" s="4" t="s">
        <v>22</v>
      </c>
      <c r="C37" s="6"/>
      <c r="D37" s="6"/>
      <c r="E37" s="6"/>
      <c r="F37" s="23">
        <f>F21+F36</f>
        <v>81.751558630735616</v>
      </c>
    </row>
    <row r="38" spans="2:6" x14ac:dyDescent="0.25">
      <c r="B38" s="7"/>
      <c r="C38" s="7"/>
      <c r="D38" s="7"/>
      <c r="E38" s="7"/>
      <c r="F38" s="7"/>
    </row>
    <row r="39" spans="2:6" x14ac:dyDescent="0.25">
      <c r="B39" s="13"/>
      <c r="C39" s="13"/>
      <c r="D39" s="13"/>
      <c r="E39" s="13"/>
      <c r="F39" s="13"/>
    </row>
    <row r="40" spans="2:6" x14ac:dyDescent="0.25">
      <c r="B40" s="13"/>
      <c r="C40" s="13"/>
      <c r="D40" s="13"/>
      <c r="E40" s="13"/>
      <c r="F40" s="13"/>
    </row>
    <row r="41" spans="2:6" x14ac:dyDescent="0.25">
      <c r="B41" s="39" t="s">
        <v>23</v>
      </c>
      <c r="C41" s="38"/>
      <c r="D41" s="38"/>
      <c r="E41" s="39" t="s">
        <v>24</v>
      </c>
      <c r="F41" s="38"/>
    </row>
  </sheetData>
  <mergeCells count="5">
    <mergeCell ref="B1:F1"/>
    <mergeCell ref="B2:F2"/>
    <mergeCell ref="C4:D4"/>
    <mergeCell ref="B41:D41"/>
    <mergeCell ref="E41:F4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8"/>
  <sheetViews>
    <sheetView topLeftCell="A4" workbookViewId="0">
      <selection activeCell="J24" sqref="J24"/>
    </sheetView>
  </sheetViews>
  <sheetFormatPr defaultRowHeight="15" x14ac:dyDescent="0.25"/>
  <cols>
    <col min="2" max="2" width="39.42578125" customWidth="1"/>
    <col min="6" max="6" width="10.42578125" bestFit="1" customWidth="1"/>
  </cols>
  <sheetData>
    <row r="2" spans="2:6" ht="30" customHeight="1" x14ac:dyDescent="0.25">
      <c r="B2" s="37" t="s">
        <v>40</v>
      </c>
      <c r="C2" s="37"/>
      <c r="D2" s="37"/>
      <c r="E2" s="37"/>
      <c r="F2" s="37"/>
    </row>
    <row r="3" spans="2:6" ht="30" customHeight="1" x14ac:dyDescent="0.25">
      <c r="B3" s="37" t="s">
        <v>1</v>
      </c>
      <c r="C3" s="37"/>
      <c r="D3" s="37"/>
      <c r="E3" s="37"/>
      <c r="F3" s="37"/>
    </row>
    <row r="4" spans="2:6" x14ac:dyDescent="0.25">
      <c r="B4" s="14" t="s">
        <v>0</v>
      </c>
      <c r="C4" s="14"/>
      <c r="D4" s="14"/>
      <c r="E4" s="14"/>
      <c r="F4" s="14"/>
    </row>
    <row r="5" spans="2:6" x14ac:dyDescent="0.25">
      <c r="B5" s="12"/>
      <c r="C5" s="38" t="s">
        <v>25</v>
      </c>
      <c r="D5" s="38"/>
      <c r="E5" s="12">
        <v>173.5</v>
      </c>
      <c r="F5" s="12" t="s">
        <v>26</v>
      </c>
    </row>
    <row r="7" spans="2:6" ht="60" x14ac:dyDescent="0.25">
      <c r="B7" s="1" t="s">
        <v>2</v>
      </c>
      <c r="C7" s="1" t="s">
        <v>4</v>
      </c>
      <c r="D7" s="1" t="s">
        <v>3</v>
      </c>
      <c r="E7" s="1" t="s">
        <v>447</v>
      </c>
      <c r="F7" s="1" t="s">
        <v>5</v>
      </c>
    </row>
    <row r="8" spans="2:6" x14ac:dyDescent="0.25">
      <c r="B8" s="1"/>
      <c r="C8" s="1"/>
      <c r="D8" s="1"/>
      <c r="E8" s="1"/>
      <c r="F8" s="1"/>
    </row>
    <row r="9" spans="2:6" x14ac:dyDescent="0.25">
      <c r="B9" s="3" t="s">
        <v>6</v>
      </c>
      <c r="C9" s="1"/>
      <c r="D9" s="1"/>
      <c r="E9" s="1"/>
      <c r="F9" s="1"/>
    </row>
    <row r="10" spans="2:6" x14ac:dyDescent="0.25">
      <c r="B10" s="5" t="s">
        <v>7</v>
      </c>
      <c r="C10" s="1"/>
      <c r="D10" s="1"/>
      <c r="E10" s="1"/>
      <c r="F10" s="5">
        <v>2.0099999999999998</v>
      </c>
    </row>
    <row r="11" spans="2:6" ht="24.75" x14ac:dyDescent="0.25">
      <c r="B11" s="5" t="s">
        <v>11</v>
      </c>
      <c r="C11" s="1"/>
      <c r="D11" s="1"/>
      <c r="E11" s="1"/>
      <c r="F11" s="5">
        <v>0.55000000000000004</v>
      </c>
    </row>
    <row r="12" spans="2:6" ht="24.75" x14ac:dyDescent="0.25">
      <c r="B12" s="5" t="s">
        <v>12</v>
      </c>
      <c r="C12" s="1"/>
      <c r="D12" s="1"/>
      <c r="E12" s="1"/>
      <c r="F12" s="5">
        <v>0.53</v>
      </c>
    </row>
    <row r="13" spans="2:6" ht="24.75" x14ac:dyDescent="0.25">
      <c r="B13" s="5" t="s">
        <v>9</v>
      </c>
      <c r="C13" s="1"/>
      <c r="D13" s="1"/>
      <c r="E13" s="1"/>
      <c r="F13" s="5">
        <v>0.26</v>
      </c>
    </row>
    <row r="14" spans="2:6" ht="24.75" x14ac:dyDescent="0.25">
      <c r="B14" s="5" t="s">
        <v>16</v>
      </c>
      <c r="C14" s="1"/>
      <c r="D14" s="1"/>
      <c r="E14" s="1"/>
      <c r="F14" s="5">
        <v>0.28999999999999998</v>
      </c>
    </row>
    <row r="15" spans="2:6" ht="24.75" x14ac:dyDescent="0.25">
      <c r="B15" s="5" t="s">
        <v>15</v>
      </c>
      <c r="C15" s="1"/>
      <c r="D15" s="1"/>
      <c r="E15" s="1"/>
      <c r="F15" s="5">
        <v>0.27</v>
      </c>
    </row>
    <row r="16" spans="2:6" x14ac:dyDescent="0.25">
      <c r="B16" s="5" t="s">
        <v>17</v>
      </c>
      <c r="C16" s="1"/>
      <c r="D16" s="1"/>
      <c r="E16" s="1"/>
      <c r="F16" s="5">
        <v>0.32</v>
      </c>
    </row>
    <row r="17" spans="2:6" x14ac:dyDescent="0.25">
      <c r="B17" s="5" t="s">
        <v>19</v>
      </c>
      <c r="C17" s="1"/>
      <c r="D17" s="1"/>
      <c r="E17" s="1"/>
      <c r="F17" s="5">
        <v>3.95</v>
      </c>
    </row>
    <row r="18" spans="2:6" x14ac:dyDescent="0.25">
      <c r="B18" s="10" t="s">
        <v>20</v>
      </c>
      <c r="C18" s="1"/>
      <c r="D18" s="1"/>
      <c r="E18" s="1"/>
      <c r="F18" s="4">
        <f>SUM(F10:F17)</f>
        <v>8.18</v>
      </c>
    </row>
    <row r="19" spans="2:6" x14ac:dyDescent="0.25">
      <c r="B19" s="3" t="s">
        <v>21</v>
      </c>
      <c r="C19" s="1"/>
      <c r="D19" s="1"/>
      <c r="E19" s="1"/>
      <c r="F19" s="1"/>
    </row>
    <row r="20" spans="2:6" x14ac:dyDescent="0.25">
      <c r="B20" s="1" t="s">
        <v>317</v>
      </c>
      <c r="C20" s="1" t="s">
        <v>265</v>
      </c>
      <c r="D20" s="1">
        <v>1</v>
      </c>
      <c r="E20" s="1">
        <v>30</v>
      </c>
      <c r="F20" s="24">
        <f>E20/173.5*1000/12</f>
        <v>14.409221902017292</v>
      </c>
    </row>
    <row r="21" spans="2:6" x14ac:dyDescent="0.25">
      <c r="B21" s="1" t="s">
        <v>334</v>
      </c>
      <c r="C21" s="1" t="s">
        <v>265</v>
      </c>
      <c r="D21" s="1">
        <v>1</v>
      </c>
      <c r="E21" s="1">
        <v>10</v>
      </c>
      <c r="F21" s="24">
        <f t="shared" ref="F21:F32" si="0">E21/173.5*1000/12</f>
        <v>4.8030739673390963</v>
      </c>
    </row>
    <row r="22" spans="2:6" x14ac:dyDescent="0.25">
      <c r="B22" s="1" t="s">
        <v>272</v>
      </c>
      <c r="C22" s="1" t="s">
        <v>265</v>
      </c>
      <c r="D22" s="1">
        <v>2</v>
      </c>
      <c r="E22" s="1">
        <v>20</v>
      </c>
      <c r="F22" s="24">
        <f t="shared" si="0"/>
        <v>9.6061479346781926</v>
      </c>
    </row>
    <row r="23" spans="2:6" x14ac:dyDescent="0.25">
      <c r="B23" s="1" t="s">
        <v>329</v>
      </c>
      <c r="C23" s="1" t="s">
        <v>26</v>
      </c>
      <c r="D23" s="1">
        <v>296</v>
      </c>
      <c r="E23" s="1">
        <v>355.25</v>
      </c>
      <c r="F23" s="24">
        <f t="shared" si="0"/>
        <v>170.62920268972141</v>
      </c>
    </row>
    <row r="24" spans="2:6" x14ac:dyDescent="0.25">
      <c r="B24" s="1" t="s">
        <v>319</v>
      </c>
      <c r="C24" s="1" t="s">
        <v>261</v>
      </c>
      <c r="D24" s="1">
        <v>20</v>
      </c>
      <c r="E24" s="1">
        <v>6.5</v>
      </c>
      <c r="F24" s="24">
        <f t="shared" si="0"/>
        <v>3.1219980787704125</v>
      </c>
    </row>
    <row r="25" spans="2:6" x14ac:dyDescent="0.25">
      <c r="B25" s="1" t="s">
        <v>342</v>
      </c>
      <c r="C25" s="1" t="s">
        <v>26</v>
      </c>
      <c r="D25" s="1">
        <v>5</v>
      </c>
      <c r="E25" s="1">
        <v>10</v>
      </c>
      <c r="F25" s="24">
        <f t="shared" si="0"/>
        <v>4.8030739673390963</v>
      </c>
    </row>
    <row r="26" spans="2:6" x14ac:dyDescent="0.25">
      <c r="B26" s="1" t="s">
        <v>320</v>
      </c>
      <c r="C26" s="1" t="s">
        <v>261</v>
      </c>
      <c r="D26" s="1">
        <v>4</v>
      </c>
      <c r="E26" s="1">
        <v>38</v>
      </c>
      <c r="F26" s="24">
        <f t="shared" si="0"/>
        <v>18.25168107588857</v>
      </c>
    </row>
    <row r="27" spans="2:6" x14ac:dyDescent="0.25">
      <c r="B27" s="1" t="s">
        <v>325</v>
      </c>
      <c r="C27" s="1" t="s">
        <v>261</v>
      </c>
      <c r="D27" s="1">
        <v>20</v>
      </c>
      <c r="E27" s="1">
        <v>13.3</v>
      </c>
      <c r="F27" s="24">
        <f t="shared" si="0"/>
        <v>6.3880883765609981</v>
      </c>
    </row>
    <row r="28" spans="2:6" x14ac:dyDescent="0.25">
      <c r="B28" s="1" t="s">
        <v>339</v>
      </c>
      <c r="C28" s="1" t="s">
        <v>26</v>
      </c>
      <c r="D28" s="1">
        <v>7</v>
      </c>
      <c r="E28" s="1">
        <v>15</v>
      </c>
      <c r="F28" s="24">
        <f t="shared" si="0"/>
        <v>7.2046109510086458</v>
      </c>
    </row>
    <row r="29" spans="2:6" x14ac:dyDescent="0.25">
      <c r="B29" s="1"/>
      <c r="C29" s="1"/>
      <c r="D29" s="1"/>
      <c r="E29" s="1"/>
      <c r="F29" s="24">
        <f t="shared" si="0"/>
        <v>0</v>
      </c>
    </row>
    <row r="30" spans="2:6" x14ac:dyDescent="0.25">
      <c r="B30" s="1"/>
      <c r="C30" s="1"/>
      <c r="D30" s="1"/>
      <c r="E30" s="1"/>
      <c r="F30" s="24">
        <f t="shared" si="0"/>
        <v>0</v>
      </c>
    </row>
    <row r="31" spans="2:6" x14ac:dyDescent="0.25">
      <c r="B31" s="1"/>
      <c r="C31" s="1"/>
      <c r="D31" s="1"/>
      <c r="E31" s="1"/>
      <c r="F31" s="24">
        <f t="shared" si="0"/>
        <v>0</v>
      </c>
    </row>
    <row r="32" spans="2:6" x14ac:dyDescent="0.25">
      <c r="B32" s="1"/>
      <c r="C32" s="1"/>
      <c r="D32" s="1"/>
      <c r="E32" s="1"/>
      <c r="F32" s="24">
        <f t="shared" si="0"/>
        <v>0</v>
      </c>
    </row>
    <row r="33" spans="2:6" x14ac:dyDescent="0.25">
      <c r="B33" s="10" t="s">
        <v>20</v>
      </c>
      <c r="C33" s="1"/>
      <c r="D33" s="1"/>
      <c r="E33" s="4">
        <f>SUM(E20:E32)</f>
        <v>498.05</v>
      </c>
      <c r="F33" s="22">
        <f>SUM(F20:F32)</f>
        <v>239.21709894332372</v>
      </c>
    </row>
    <row r="34" spans="2:6" x14ac:dyDescent="0.25">
      <c r="B34" s="4" t="s">
        <v>22</v>
      </c>
      <c r="C34" s="6"/>
      <c r="D34" s="6"/>
      <c r="E34" s="6"/>
      <c r="F34" s="23">
        <f>F18+F33</f>
        <v>247.39709894332373</v>
      </c>
    </row>
    <row r="35" spans="2:6" x14ac:dyDescent="0.25">
      <c r="B35" s="7"/>
      <c r="C35" s="7"/>
      <c r="D35" s="7"/>
      <c r="E35" s="7"/>
      <c r="F35" s="7"/>
    </row>
    <row r="36" spans="2:6" x14ac:dyDescent="0.25">
      <c r="B36" s="13"/>
      <c r="C36" s="13"/>
      <c r="D36" s="13"/>
      <c r="E36" s="13"/>
      <c r="F36" s="13"/>
    </row>
    <row r="37" spans="2:6" x14ac:dyDescent="0.25">
      <c r="B37" s="13"/>
      <c r="C37" s="13"/>
      <c r="D37" s="13"/>
      <c r="E37" s="13"/>
      <c r="F37" s="13"/>
    </row>
    <row r="38" spans="2:6" x14ac:dyDescent="0.25">
      <c r="B38" s="39" t="s">
        <v>23</v>
      </c>
      <c r="C38" s="38"/>
      <c r="D38" s="38"/>
      <c r="E38" s="39" t="s">
        <v>24</v>
      </c>
      <c r="F38" s="38"/>
    </row>
  </sheetData>
  <mergeCells count="5">
    <mergeCell ref="B2:F2"/>
    <mergeCell ref="B3:F3"/>
    <mergeCell ref="C5:D5"/>
    <mergeCell ref="E38:F38"/>
    <mergeCell ref="B38:D3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9"/>
  <sheetViews>
    <sheetView topLeftCell="A10" workbookViewId="0">
      <selection activeCell="J18" sqref="J18"/>
    </sheetView>
  </sheetViews>
  <sheetFormatPr defaultRowHeight="15" x14ac:dyDescent="0.25"/>
  <cols>
    <col min="2" max="2" width="36.140625" customWidth="1"/>
    <col min="6" max="6" width="11.42578125" bestFit="1" customWidth="1"/>
  </cols>
  <sheetData>
    <row r="1" spans="2:6" ht="28.9" customHeight="1" x14ac:dyDescent="0.25">
      <c r="B1" s="37" t="s">
        <v>160</v>
      </c>
      <c r="C1" s="37"/>
      <c r="D1" s="37"/>
      <c r="E1" s="37"/>
      <c r="F1" s="37"/>
    </row>
    <row r="2" spans="2:6" ht="31.15" customHeight="1" x14ac:dyDescent="0.25">
      <c r="B2" s="37" t="s">
        <v>1</v>
      </c>
      <c r="C2" s="37"/>
      <c r="D2" s="37"/>
      <c r="E2" s="37"/>
      <c r="F2" s="37"/>
    </row>
    <row r="3" spans="2:6" x14ac:dyDescent="0.25">
      <c r="B3" s="14" t="s">
        <v>0</v>
      </c>
      <c r="C3" s="14"/>
      <c r="D3" s="14"/>
      <c r="E3" s="14"/>
      <c r="F3" s="14"/>
    </row>
    <row r="4" spans="2:6" x14ac:dyDescent="0.25">
      <c r="B4" s="12"/>
      <c r="C4" s="38" t="s">
        <v>25</v>
      </c>
      <c r="D4" s="38"/>
      <c r="E4" s="12">
        <v>263</v>
      </c>
      <c r="F4" s="12" t="s">
        <v>26</v>
      </c>
    </row>
    <row r="6" spans="2:6" ht="60" x14ac:dyDescent="0.25">
      <c r="B6" s="1" t="s">
        <v>2</v>
      </c>
      <c r="C6" s="1" t="s">
        <v>4</v>
      </c>
      <c r="D6" s="1" t="s">
        <v>3</v>
      </c>
      <c r="E6" s="1" t="s">
        <v>447</v>
      </c>
      <c r="F6" s="1" t="s">
        <v>5</v>
      </c>
    </row>
    <row r="7" spans="2:6" x14ac:dyDescent="0.25">
      <c r="B7" s="1"/>
      <c r="C7" s="1"/>
      <c r="D7" s="1"/>
      <c r="E7" s="1"/>
      <c r="F7" s="1"/>
    </row>
    <row r="8" spans="2:6" x14ac:dyDescent="0.25">
      <c r="B8" s="3" t="s">
        <v>6</v>
      </c>
      <c r="C8" s="1"/>
      <c r="D8" s="1"/>
      <c r="E8" s="1"/>
      <c r="F8" s="1"/>
    </row>
    <row r="9" spans="2:6" x14ac:dyDescent="0.25">
      <c r="B9" s="5" t="s">
        <v>7</v>
      </c>
      <c r="C9" s="1"/>
      <c r="D9" s="1"/>
      <c r="E9" s="1"/>
      <c r="F9" s="5">
        <v>2.0099999999999998</v>
      </c>
    </row>
    <row r="10" spans="2:6" x14ac:dyDescent="0.25">
      <c r="B10" s="5" t="s">
        <v>8</v>
      </c>
      <c r="C10" s="1"/>
      <c r="D10" s="1"/>
      <c r="E10" s="1"/>
      <c r="F10" s="5">
        <v>5.34</v>
      </c>
    </row>
    <row r="11" spans="2:6" ht="24.75" x14ac:dyDescent="0.25">
      <c r="B11" s="5" t="s">
        <v>11</v>
      </c>
      <c r="C11" s="1"/>
      <c r="D11" s="1"/>
      <c r="E11" s="1"/>
      <c r="F11" s="5">
        <v>0.55000000000000004</v>
      </c>
    </row>
    <row r="12" spans="2:6" ht="24.75" x14ac:dyDescent="0.25">
      <c r="B12" s="5" t="s">
        <v>12</v>
      </c>
      <c r="C12" s="1"/>
      <c r="D12" s="1"/>
      <c r="E12" s="1"/>
      <c r="F12" s="5">
        <v>0.53</v>
      </c>
    </row>
    <row r="13" spans="2:6" ht="24.75" x14ac:dyDescent="0.25">
      <c r="B13" s="5" t="s">
        <v>13</v>
      </c>
      <c r="C13" s="1"/>
      <c r="D13" s="1"/>
      <c r="E13" s="1"/>
      <c r="F13" s="5">
        <v>0.19</v>
      </c>
    </row>
    <row r="14" spans="2:6" ht="24.75" x14ac:dyDescent="0.25">
      <c r="B14" s="5" t="s">
        <v>9</v>
      </c>
      <c r="C14" s="1"/>
      <c r="D14" s="1"/>
      <c r="E14" s="1"/>
      <c r="F14" s="5">
        <v>0.26</v>
      </c>
    </row>
    <row r="15" spans="2:6" ht="24.75" x14ac:dyDescent="0.25">
      <c r="B15" s="5" t="s">
        <v>15</v>
      </c>
      <c r="C15" s="1"/>
      <c r="D15" s="1"/>
      <c r="E15" s="1"/>
      <c r="F15" s="5">
        <v>0.27</v>
      </c>
    </row>
    <row r="16" spans="2:6" ht="24.75" x14ac:dyDescent="0.25">
      <c r="B16" s="5" t="s">
        <v>16</v>
      </c>
      <c r="C16" s="1"/>
      <c r="D16" s="1"/>
      <c r="E16" s="1"/>
      <c r="F16" s="5">
        <v>0.28999999999999998</v>
      </c>
    </row>
    <row r="17" spans="2:6" x14ac:dyDescent="0.25">
      <c r="B17" s="5" t="s">
        <v>17</v>
      </c>
      <c r="C17" s="1"/>
      <c r="D17" s="1"/>
      <c r="E17" s="1"/>
      <c r="F17" s="5">
        <v>0.32</v>
      </c>
    </row>
    <row r="18" spans="2:6" x14ac:dyDescent="0.25">
      <c r="B18" s="5" t="s">
        <v>19</v>
      </c>
      <c r="C18" s="1"/>
      <c r="D18" s="1"/>
      <c r="E18" s="1"/>
      <c r="F18" s="5">
        <v>3.95</v>
      </c>
    </row>
    <row r="19" spans="2:6" x14ac:dyDescent="0.25">
      <c r="B19" s="10" t="s">
        <v>20</v>
      </c>
      <c r="C19" s="1"/>
      <c r="D19" s="1"/>
      <c r="E19" s="1"/>
      <c r="F19" s="4">
        <f>SUM(F9:F18)</f>
        <v>13.709999999999997</v>
      </c>
    </row>
    <row r="20" spans="2:6" x14ac:dyDescent="0.25">
      <c r="B20" s="3" t="s">
        <v>21</v>
      </c>
      <c r="C20" s="1"/>
      <c r="D20" s="1"/>
      <c r="E20" s="1"/>
      <c r="F20" s="1"/>
    </row>
    <row r="21" spans="2:6" x14ac:dyDescent="0.25">
      <c r="B21" s="1" t="s">
        <v>275</v>
      </c>
      <c r="C21" s="1" t="s">
        <v>26</v>
      </c>
      <c r="D21" s="1">
        <v>40</v>
      </c>
      <c r="E21" s="1">
        <v>60</v>
      </c>
      <c r="F21" s="24">
        <f>E21/263*1000/12</f>
        <v>19.011406844106464</v>
      </c>
    </row>
    <row r="22" spans="2:6" x14ac:dyDescent="0.25">
      <c r="B22" s="1" t="s">
        <v>319</v>
      </c>
      <c r="C22" s="1" t="s">
        <v>261</v>
      </c>
      <c r="D22" s="1">
        <v>8</v>
      </c>
      <c r="E22" s="1">
        <v>31.2</v>
      </c>
      <c r="F22" s="24">
        <f t="shared" ref="F22:F33" si="0">E22/263*1000/12</f>
        <v>9.8859315589353614</v>
      </c>
    </row>
    <row r="23" spans="2:6" x14ac:dyDescent="0.25">
      <c r="B23" s="1" t="s">
        <v>325</v>
      </c>
      <c r="C23" s="1" t="s">
        <v>261</v>
      </c>
      <c r="D23" s="1">
        <v>20</v>
      </c>
      <c r="E23" s="1">
        <v>10.4</v>
      </c>
      <c r="F23" s="24">
        <f t="shared" si="0"/>
        <v>3.2953105196451205</v>
      </c>
    </row>
    <row r="24" spans="2:6" x14ac:dyDescent="0.25">
      <c r="B24" s="1" t="s">
        <v>343</v>
      </c>
      <c r="C24" s="1" t="s">
        <v>256</v>
      </c>
      <c r="D24" s="1">
        <v>2</v>
      </c>
      <c r="E24" s="1">
        <v>110</v>
      </c>
      <c r="F24" s="24">
        <f t="shared" si="0"/>
        <v>34.854245880861853</v>
      </c>
    </row>
    <row r="25" spans="2:6" x14ac:dyDescent="0.25">
      <c r="B25" s="1"/>
      <c r="C25" s="1"/>
      <c r="D25" s="1"/>
      <c r="E25" s="1"/>
      <c r="F25" s="24">
        <f t="shared" si="0"/>
        <v>0</v>
      </c>
    </row>
    <row r="26" spans="2:6" x14ac:dyDescent="0.25">
      <c r="B26" s="1"/>
      <c r="C26" s="1"/>
      <c r="D26" s="1"/>
      <c r="E26" s="1"/>
      <c r="F26" s="24">
        <f t="shared" si="0"/>
        <v>0</v>
      </c>
    </row>
    <row r="27" spans="2:6" x14ac:dyDescent="0.25">
      <c r="B27" s="1"/>
      <c r="C27" s="1"/>
      <c r="D27" s="1"/>
      <c r="E27" s="1"/>
      <c r="F27" s="24">
        <f t="shared" si="0"/>
        <v>0</v>
      </c>
    </row>
    <row r="28" spans="2:6" x14ac:dyDescent="0.25">
      <c r="B28" s="1"/>
      <c r="C28" s="1"/>
      <c r="D28" s="1"/>
      <c r="E28" s="1"/>
      <c r="F28" s="24">
        <f t="shared" si="0"/>
        <v>0</v>
      </c>
    </row>
    <row r="29" spans="2:6" x14ac:dyDescent="0.25">
      <c r="B29" s="1"/>
      <c r="C29" s="1"/>
      <c r="D29" s="1"/>
      <c r="E29" s="1"/>
      <c r="F29" s="24">
        <f t="shared" si="0"/>
        <v>0</v>
      </c>
    </row>
    <row r="30" spans="2:6" x14ac:dyDescent="0.25">
      <c r="B30" s="1"/>
      <c r="C30" s="1"/>
      <c r="D30" s="1"/>
      <c r="E30" s="1"/>
      <c r="F30" s="24">
        <f t="shared" si="0"/>
        <v>0</v>
      </c>
    </row>
    <row r="31" spans="2:6" x14ac:dyDescent="0.25">
      <c r="B31" s="1"/>
      <c r="C31" s="1"/>
      <c r="D31" s="1"/>
      <c r="E31" s="1"/>
      <c r="F31" s="24">
        <f t="shared" si="0"/>
        <v>0</v>
      </c>
    </row>
    <row r="32" spans="2:6" x14ac:dyDescent="0.25">
      <c r="B32" s="1"/>
      <c r="C32" s="1"/>
      <c r="D32" s="1"/>
      <c r="E32" s="1"/>
      <c r="F32" s="24">
        <f t="shared" si="0"/>
        <v>0</v>
      </c>
    </row>
    <row r="33" spans="2:6" x14ac:dyDescent="0.25">
      <c r="B33" s="1"/>
      <c r="C33" s="1"/>
      <c r="D33" s="1"/>
      <c r="E33" s="1"/>
      <c r="F33" s="24">
        <f t="shared" si="0"/>
        <v>0</v>
      </c>
    </row>
    <row r="34" spans="2:6" x14ac:dyDescent="0.25">
      <c r="B34" s="10" t="s">
        <v>20</v>
      </c>
      <c r="C34" s="1"/>
      <c r="D34" s="1"/>
      <c r="E34" s="4">
        <f>SUM(E21:E33)</f>
        <v>211.60000000000002</v>
      </c>
      <c r="F34" s="22">
        <f>SUM(F21:F33)</f>
        <v>67.046894803548795</v>
      </c>
    </row>
    <row r="35" spans="2:6" x14ac:dyDescent="0.25">
      <c r="B35" s="4" t="s">
        <v>22</v>
      </c>
      <c r="C35" s="6"/>
      <c r="D35" s="6"/>
      <c r="E35" s="6"/>
      <c r="F35" s="23">
        <f>F19+F34</f>
        <v>80.756894803548789</v>
      </c>
    </row>
    <row r="36" spans="2:6" x14ac:dyDescent="0.25">
      <c r="B36" s="7"/>
      <c r="C36" s="7"/>
      <c r="D36" s="7"/>
      <c r="E36" s="7"/>
      <c r="F36" s="7"/>
    </row>
    <row r="37" spans="2:6" x14ac:dyDescent="0.25">
      <c r="B37" s="13"/>
      <c r="C37" s="13"/>
      <c r="D37" s="13"/>
      <c r="E37" s="13"/>
      <c r="F37" s="13"/>
    </row>
    <row r="38" spans="2:6" x14ac:dyDescent="0.25">
      <c r="B38" s="13"/>
      <c r="C38" s="13"/>
      <c r="D38" s="13"/>
      <c r="E38" s="13"/>
      <c r="F38" s="13"/>
    </row>
    <row r="39" spans="2:6" x14ac:dyDescent="0.25">
      <c r="B39" s="39" t="s">
        <v>23</v>
      </c>
      <c r="C39" s="38"/>
      <c r="D39" s="38"/>
      <c r="E39" s="39" t="s">
        <v>24</v>
      </c>
      <c r="F39" s="38"/>
    </row>
  </sheetData>
  <mergeCells count="5">
    <mergeCell ref="B1:F1"/>
    <mergeCell ref="B2:F2"/>
    <mergeCell ref="C4:D4"/>
    <mergeCell ref="B39:D39"/>
    <mergeCell ref="E39:F3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9"/>
  <sheetViews>
    <sheetView tabSelected="1" workbookViewId="0">
      <selection activeCell="F34" sqref="F34:F35"/>
    </sheetView>
  </sheetViews>
  <sheetFormatPr defaultRowHeight="15" x14ac:dyDescent="0.25"/>
  <cols>
    <col min="2" max="2" width="36.7109375" customWidth="1"/>
  </cols>
  <sheetData>
    <row r="2" spans="2:6" ht="36" customHeight="1" x14ac:dyDescent="0.25">
      <c r="B2" s="37" t="s">
        <v>161</v>
      </c>
      <c r="C2" s="37"/>
      <c r="D2" s="37"/>
      <c r="E2" s="37"/>
      <c r="F2" s="37"/>
    </row>
    <row r="3" spans="2:6" ht="35.450000000000003" customHeight="1" x14ac:dyDescent="0.25">
      <c r="B3" s="37" t="s">
        <v>1</v>
      </c>
      <c r="C3" s="37"/>
      <c r="D3" s="37"/>
      <c r="E3" s="37"/>
      <c r="F3" s="37"/>
    </row>
    <row r="4" spans="2:6" x14ac:dyDescent="0.25">
      <c r="B4" s="14" t="s">
        <v>0</v>
      </c>
      <c r="C4" s="14"/>
      <c r="D4" s="14"/>
      <c r="E4" s="14"/>
      <c r="F4" s="14"/>
    </row>
    <row r="5" spans="2:6" x14ac:dyDescent="0.25">
      <c r="B5" s="12"/>
      <c r="C5" s="38" t="s">
        <v>25</v>
      </c>
      <c r="D5" s="38"/>
      <c r="E5" s="12">
        <v>212.2</v>
      </c>
      <c r="F5" s="12" t="s">
        <v>26</v>
      </c>
    </row>
    <row r="7" spans="2:6" ht="75" x14ac:dyDescent="0.25">
      <c r="B7" s="1" t="s">
        <v>2</v>
      </c>
      <c r="C7" s="1" t="s">
        <v>4</v>
      </c>
      <c r="D7" s="1" t="s">
        <v>3</v>
      </c>
      <c r="E7" s="1" t="s">
        <v>447</v>
      </c>
      <c r="F7" s="1" t="s">
        <v>5</v>
      </c>
    </row>
    <row r="8" spans="2:6" x14ac:dyDescent="0.25">
      <c r="B8" s="1"/>
      <c r="C8" s="1"/>
      <c r="D8" s="1"/>
      <c r="E8" s="1"/>
      <c r="F8" s="1"/>
    </row>
    <row r="9" spans="2:6" x14ac:dyDescent="0.25">
      <c r="B9" s="3" t="s">
        <v>6</v>
      </c>
      <c r="C9" s="1"/>
      <c r="D9" s="1"/>
      <c r="E9" s="1"/>
      <c r="F9" s="1"/>
    </row>
    <row r="10" spans="2:6" x14ac:dyDescent="0.25">
      <c r="B10" s="5" t="s">
        <v>7</v>
      </c>
      <c r="C10" s="1"/>
      <c r="D10" s="1"/>
      <c r="E10" s="1"/>
      <c r="F10" s="5">
        <v>2.0099999999999998</v>
      </c>
    </row>
    <row r="11" spans="2:6" x14ac:dyDescent="0.25">
      <c r="B11" s="5" t="s">
        <v>8</v>
      </c>
      <c r="C11" s="1"/>
      <c r="D11" s="1"/>
      <c r="E11" s="1"/>
      <c r="F11" s="5">
        <v>5.34</v>
      </c>
    </row>
    <row r="12" spans="2:6" x14ac:dyDescent="0.25">
      <c r="B12" s="5" t="s">
        <v>162</v>
      </c>
      <c r="C12" s="1"/>
      <c r="D12" s="1"/>
      <c r="E12" s="1"/>
      <c r="F12" s="5">
        <v>0.32</v>
      </c>
    </row>
    <row r="13" spans="2:6" ht="24.75" x14ac:dyDescent="0.25">
      <c r="B13" s="5" t="s">
        <v>163</v>
      </c>
      <c r="C13" s="1"/>
      <c r="D13" s="1"/>
      <c r="E13" s="1"/>
      <c r="F13" s="5">
        <v>0.19</v>
      </c>
    </row>
    <row r="14" spans="2:6" ht="24.75" x14ac:dyDescent="0.25">
      <c r="B14" s="5" t="s">
        <v>9</v>
      </c>
      <c r="C14" s="1"/>
      <c r="D14" s="1"/>
      <c r="E14" s="1"/>
      <c r="F14" s="5">
        <v>0.26</v>
      </c>
    </row>
    <row r="15" spans="2:6" ht="24.75" x14ac:dyDescent="0.25">
      <c r="B15" s="5" t="s">
        <v>15</v>
      </c>
      <c r="C15" s="1"/>
      <c r="D15" s="1"/>
      <c r="E15" s="1"/>
      <c r="F15" s="5">
        <v>0.27</v>
      </c>
    </row>
    <row r="16" spans="2:6" ht="24.75" x14ac:dyDescent="0.25">
      <c r="B16" s="5" t="s">
        <v>16</v>
      </c>
      <c r="C16" s="1"/>
      <c r="D16" s="1"/>
      <c r="E16" s="1"/>
      <c r="F16" s="5">
        <v>0.28999999999999998</v>
      </c>
    </row>
    <row r="17" spans="2:6" x14ac:dyDescent="0.25">
      <c r="B17" s="5" t="s">
        <v>17</v>
      </c>
      <c r="C17" s="1"/>
      <c r="D17" s="1"/>
      <c r="E17" s="1"/>
      <c r="F17" s="5">
        <v>0.32</v>
      </c>
    </row>
    <row r="18" spans="2:6" x14ac:dyDescent="0.25">
      <c r="B18" s="5" t="s">
        <v>19</v>
      </c>
      <c r="C18" s="1"/>
      <c r="D18" s="1"/>
      <c r="E18" s="1"/>
      <c r="F18" s="5">
        <v>3.95</v>
      </c>
    </row>
    <row r="19" spans="2:6" x14ac:dyDescent="0.25">
      <c r="B19" s="10" t="s">
        <v>20</v>
      </c>
      <c r="C19" s="1"/>
      <c r="D19" s="1"/>
      <c r="E19" s="1"/>
      <c r="F19" s="4">
        <f>SUM(F10:F18)</f>
        <v>12.95</v>
      </c>
    </row>
    <row r="20" spans="2:6" x14ac:dyDescent="0.25">
      <c r="B20" s="3" t="s">
        <v>21</v>
      </c>
      <c r="C20" s="1"/>
      <c r="D20" s="1"/>
      <c r="E20" s="1"/>
      <c r="F20" s="1"/>
    </row>
    <row r="21" spans="2:6" x14ac:dyDescent="0.25">
      <c r="B21" s="1" t="s">
        <v>441</v>
      </c>
      <c r="C21" s="1" t="s">
        <v>256</v>
      </c>
      <c r="D21" s="1">
        <v>1</v>
      </c>
      <c r="E21" s="1">
        <v>45</v>
      </c>
      <c r="F21" s="24">
        <f>E21/212.2*1000/12</f>
        <v>17.672007540056551</v>
      </c>
    </row>
    <row r="22" spans="2:6" x14ac:dyDescent="0.25">
      <c r="B22" s="1" t="s">
        <v>453</v>
      </c>
      <c r="C22" s="1" t="s">
        <v>26</v>
      </c>
      <c r="D22" s="1">
        <v>350</v>
      </c>
      <c r="E22" s="1">
        <v>262.5</v>
      </c>
      <c r="F22" s="24">
        <f t="shared" ref="F22:F33" si="0">E22/212.2*1000/12</f>
        <v>103.08671065032989</v>
      </c>
    </row>
    <row r="23" spans="2:6" x14ac:dyDescent="0.25">
      <c r="B23" s="1" t="s">
        <v>454</v>
      </c>
      <c r="C23" s="1" t="s">
        <v>261</v>
      </c>
      <c r="D23" s="1">
        <v>8</v>
      </c>
      <c r="E23" s="1">
        <v>10.4</v>
      </c>
      <c r="F23" s="24">
        <f t="shared" si="0"/>
        <v>4.0841972981464023</v>
      </c>
    </row>
    <row r="24" spans="2:6" x14ac:dyDescent="0.25">
      <c r="B24" s="1" t="s">
        <v>455</v>
      </c>
      <c r="C24" s="1" t="s">
        <v>261</v>
      </c>
      <c r="D24" s="1">
        <v>28</v>
      </c>
      <c r="E24" s="1">
        <v>53.2</v>
      </c>
      <c r="F24" s="24">
        <f t="shared" si="0"/>
        <v>20.892240025133521</v>
      </c>
    </row>
    <row r="25" spans="2:6" x14ac:dyDescent="0.25">
      <c r="B25" s="1" t="s">
        <v>456</v>
      </c>
      <c r="C25" s="1" t="s">
        <v>261</v>
      </c>
      <c r="D25" s="1">
        <v>24</v>
      </c>
      <c r="E25" s="1">
        <v>45.6</v>
      </c>
      <c r="F25" s="24">
        <f t="shared" si="0"/>
        <v>17.907634307257307</v>
      </c>
    </row>
    <row r="26" spans="2:6" x14ac:dyDescent="0.25">
      <c r="B26" s="1"/>
      <c r="C26" s="1"/>
      <c r="D26" s="1"/>
      <c r="E26" s="1"/>
      <c r="F26" s="24">
        <f t="shared" si="0"/>
        <v>0</v>
      </c>
    </row>
    <row r="27" spans="2:6" x14ac:dyDescent="0.25">
      <c r="B27" s="1"/>
      <c r="C27" s="1"/>
      <c r="D27" s="1"/>
      <c r="E27" s="1"/>
      <c r="F27" s="24">
        <f t="shared" si="0"/>
        <v>0</v>
      </c>
    </row>
    <row r="28" spans="2:6" x14ac:dyDescent="0.25">
      <c r="B28" s="1"/>
      <c r="C28" s="1"/>
      <c r="D28" s="1"/>
      <c r="E28" s="1"/>
      <c r="F28" s="24">
        <f t="shared" si="0"/>
        <v>0</v>
      </c>
    </row>
    <row r="29" spans="2:6" x14ac:dyDescent="0.25">
      <c r="B29" s="1"/>
      <c r="C29" s="1"/>
      <c r="D29" s="1"/>
      <c r="E29" s="1"/>
      <c r="F29" s="24">
        <f t="shared" si="0"/>
        <v>0</v>
      </c>
    </row>
    <row r="30" spans="2:6" x14ac:dyDescent="0.25">
      <c r="B30" s="1"/>
      <c r="C30" s="1"/>
      <c r="D30" s="1"/>
      <c r="E30" s="1"/>
      <c r="F30" s="24">
        <f t="shared" si="0"/>
        <v>0</v>
      </c>
    </row>
    <row r="31" spans="2:6" x14ac:dyDescent="0.25">
      <c r="B31" s="1"/>
      <c r="C31" s="1"/>
      <c r="D31" s="1"/>
      <c r="E31" s="1"/>
      <c r="F31" s="24">
        <f t="shared" si="0"/>
        <v>0</v>
      </c>
    </row>
    <row r="32" spans="2:6" x14ac:dyDescent="0.25">
      <c r="B32" s="1"/>
      <c r="C32" s="1"/>
      <c r="D32" s="1"/>
      <c r="E32" s="1"/>
      <c r="F32" s="24">
        <f t="shared" si="0"/>
        <v>0</v>
      </c>
    </row>
    <row r="33" spans="2:6" x14ac:dyDescent="0.25">
      <c r="B33" s="1"/>
      <c r="C33" s="1"/>
      <c r="D33" s="1"/>
      <c r="E33" s="1"/>
      <c r="F33" s="24">
        <f t="shared" si="0"/>
        <v>0</v>
      </c>
    </row>
    <row r="34" spans="2:6" x14ac:dyDescent="0.25">
      <c r="B34" s="10" t="s">
        <v>20</v>
      </c>
      <c r="C34" s="1"/>
      <c r="D34" s="1"/>
      <c r="E34" s="4">
        <f>SUM(E21:E33)</f>
        <v>416.7</v>
      </c>
      <c r="F34" s="22">
        <f>SUM(F21:F33)</f>
        <v>163.64278982092367</v>
      </c>
    </row>
    <row r="35" spans="2:6" x14ac:dyDescent="0.25">
      <c r="B35" s="4" t="s">
        <v>22</v>
      </c>
      <c r="C35" s="6"/>
      <c r="D35" s="6"/>
      <c r="E35" s="6"/>
      <c r="F35" s="23">
        <f>F19+F34</f>
        <v>176.59278982092366</v>
      </c>
    </row>
    <row r="36" spans="2:6" x14ac:dyDescent="0.25">
      <c r="B36" s="7"/>
      <c r="C36" s="7"/>
      <c r="D36" s="7"/>
      <c r="E36" s="7"/>
      <c r="F36" s="7"/>
    </row>
    <row r="37" spans="2:6" x14ac:dyDescent="0.25">
      <c r="B37" s="13"/>
      <c r="C37" s="13"/>
      <c r="D37" s="13"/>
      <c r="E37" s="13"/>
      <c r="F37" s="13"/>
    </row>
    <row r="38" spans="2:6" x14ac:dyDescent="0.25">
      <c r="B38" s="13"/>
      <c r="C38" s="13"/>
      <c r="D38" s="13"/>
      <c r="E38" s="13"/>
      <c r="F38" s="13"/>
    </row>
    <row r="39" spans="2:6" x14ac:dyDescent="0.25">
      <c r="B39" s="39" t="s">
        <v>23</v>
      </c>
      <c r="C39" s="38"/>
      <c r="D39" s="38"/>
      <c r="E39" s="39" t="s">
        <v>24</v>
      </c>
      <c r="F39" s="38"/>
    </row>
  </sheetData>
  <mergeCells count="5">
    <mergeCell ref="B2:F2"/>
    <mergeCell ref="B3:F3"/>
    <mergeCell ref="C5:D5"/>
    <mergeCell ref="B39:D39"/>
    <mergeCell ref="E39:F3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10"/>
  <sheetViews>
    <sheetView topLeftCell="A199" workbookViewId="0">
      <selection activeCell="E177" sqref="E177"/>
    </sheetView>
  </sheetViews>
  <sheetFormatPr defaultRowHeight="15" x14ac:dyDescent="0.25"/>
  <cols>
    <col min="2" max="2" width="41.42578125" customWidth="1"/>
    <col min="3" max="3" width="6.85546875" customWidth="1"/>
    <col min="6" max="6" width="11.42578125" bestFit="1" customWidth="1"/>
  </cols>
  <sheetData>
    <row r="2" spans="2:6" ht="36" customHeight="1" x14ac:dyDescent="0.25">
      <c r="B2" s="37" t="s">
        <v>164</v>
      </c>
      <c r="C2" s="37"/>
      <c r="D2" s="37"/>
      <c r="E2" s="37"/>
      <c r="F2" s="37"/>
    </row>
    <row r="3" spans="2:6" ht="31.15" customHeight="1" x14ac:dyDescent="0.25">
      <c r="B3" s="37" t="s">
        <v>1</v>
      </c>
      <c r="C3" s="37"/>
      <c r="D3" s="37"/>
      <c r="E3" s="37"/>
      <c r="F3" s="37"/>
    </row>
    <row r="4" spans="2:6" x14ac:dyDescent="0.25">
      <c r="B4" s="16" t="s">
        <v>0</v>
      </c>
      <c r="C4" s="16"/>
      <c r="D4" s="16"/>
      <c r="E4" s="16"/>
      <c r="F4" s="16"/>
    </row>
    <row r="5" spans="2:6" x14ac:dyDescent="0.25">
      <c r="B5" s="17"/>
      <c r="C5" s="38" t="s">
        <v>25</v>
      </c>
      <c r="D5" s="38"/>
      <c r="E5" s="17">
        <v>169.4</v>
      </c>
      <c r="F5" s="17" t="s">
        <v>26</v>
      </c>
    </row>
    <row r="7" spans="2:6" ht="60" x14ac:dyDescent="0.25">
      <c r="B7" s="1" t="s">
        <v>2</v>
      </c>
      <c r="C7" s="1" t="s">
        <v>4</v>
      </c>
      <c r="D7" s="1" t="s">
        <v>3</v>
      </c>
      <c r="E7" s="1" t="s">
        <v>447</v>
      </c>
      <c r="F7" s="1" t="s">
        <v>5</v>
      </c>
    </row>
    <row r="8" spans="2:6" x14ac:dyDescent="0.25">
      <c r="B8" s="1"/>
      <c r="C8" s="1"/>
      <c r="D8" s="1"/>
      <c r="E8" s="1"/>
      <c r="F8" s="1"/>
    </row>
    <row r="9" spans="2:6" x14ac:dyDescent="0.25">
      <c r="B9" s="3" t="s">
        <v>6</v>
      </c>
      <c r="C9" s="1"/>
      <c r="D9" s="1"/>
      <c r="E9" s="1"/>
      <c r="F9" s="1"/>
    </row>
    <row r="10" spans="2:6" x14ac:dyDescent="0.25">
      <c r="B10" s="5" t="s">
        <v>7</v>
      </c>
      <c r="C10" s="1"/>
      <c r="D10" s="1"/>
      <c r="E10" s="1"/>
      <c r="F10" s="5">
        <v>2.0099999999999998</v>
      </c>
    </row>
    <row r="11" spans="2:6" x14ac:dyDescent="0.25">
      <c r="B11" s="5" t="s">
        <v>8</v>
      </c>
      <c r="C11" s="1"/>
      <c r="D11" s="1"/>
      <c r="E11" s="1"/>
      <c r="F11" s="5">
        <v>5.34</v>
      </c>
    </row>
    <row r="12" spans="2:6" ht="24.75" x14ac:dyDescent="0.25">
      <c r="B12" s="5" t="s">
        <v>13</v>
      </c>
      <c r="C12" s="1"/>
      <c r="D12" s="1"/>
      <c r="E12" s="1"/>
      <c r="F12" s="5">
        <v>0.19</v>
      </c>
    </row>
    <row r="13" spans="2:6" ht="24.75" x14ac:dyDescent="0.25">
      <c r="B13" s="5" t="s">
        <v>9</v>
      </c>
      <c r="C13" s="1"/>
      <c r="D13" s="1"/>
      <c r="E13" s="1"/>
      <c r="F13" s="5">
        <v>0.26</v>
      </c>
    </row>
    <row r="14" spans="2:6" ht="24.75" x14ac:dyDescent="0.25">
      <c r="B14" s="5" t="s">
        <v>15</v>
      </c>
      <c r="C14" s="1"/>
      <c r="D14" s="1"/>
      <c r="E14" s="1"/>
      <c r="F14" s="5">
        <v>0.27</v>
      </c>
    </row>
    <row r="15" spans="2:6" ht="24.75" x14ac:dyDescent="0.25">
      <c r="B15" s="5" t="s">
        <v>16</v>
      </c>
      <c r="C15" s="1"/>
      <c r="D15" s="1"/>
      <c r="E15" s="1"/>
      <c r="F15" s="5">
        <v>0.28999999999999998</v>
      </c>
    </row>
    <row r="16" spans="2:6" x14ac:dyDescent="0.25">
      <c r="B16" s="5" t="s">
        <v>17</v>
      </c>
      <c r="C16" s="1"/>
      <c r="D16" s="1"/>
      <c r="E16" s="1"/>
      <c r="F16" s="5">
        <v>0.32</v>
      </c>
    </row>
    <row r="17" spans="2:6" x14ac:dyDescent="0.25">
      <c r="B17" s="5" t="s">
        <v>18</v>
      </c>
      <c r="C17" s="1"/>
      <c r="D17" s="1"/>
      <c r="E17" s="1"/>
      <c r="F17" s="5">
        <v>1.97</v>
      </c>
    </row>
    <row r="18" spans="2:6" x14ac:dyDescent="0.25">
      <c r="B18" s="5" t="s">
        <v>19</v>
      </c>
      <c r="C18" s="1"/>
      <c r="D18" s="1"/>
      <c r="E18" s="1"/>
      <c r="F18" s="5">
        <v>3.51</v>
      </c>
    </row>
    <row r="19" spans="2:6" x14ac:dyDescent="0.25">
      <c r="B19" s="10" t="s">
        <v>20</v>
      </c>
      <c r="C19" s="1"/>
      <c r="D19" s="1"/>
      <c r="E19" s="1"/>
      <c r="F19" s="4">
        <f>SUM(F10:F18)</f>
        <v>14.16</v>
      </c>
    </row>
    <row r="20" spans="2:6" x14ac:dyDescent="0.25">
      <c r="B20" s="3" t="s">
        <v>21</v>
      </c>
      <c r="C20" s="1"/>
      <c r="D20" s="1"/>
      <c r="E20" s="1"/>
      <c r="F20" s="1"/>
    </row>
    <row r="21" spans="2:6" x14ac:dyDescent="0.25">
      <c r="B21" s="15" t="s">
        <v>278</v>
      </c>
      <c r="C21" s="1" t="s">
        <v>26</v>
      </c>
      <c r="D21" s="1">
        <v>14</v>
      </c>
      <c r="E21" s="1">
        <v>7</v>
      </c>
      <c r="F21" s="24">
        <f>E21/169.4*1000/12</f>
        <v>3.4435261707988984</v>
      </c>
    </row>
    <row r="22" spans="2:6" x14ac:dyDescent="0.25">
      <c r="B22" s="15" t="s">
        <v>253</v>
      </c>
      <c r="C22" s="1" t="s">
        <v>26</v>
      </c>
      <c r="D22" s="1">
        <v>30</v>
      </c>
      <c r="E22" s="1">
        <v>25</v>
      </c>
      <c r="F22" s="24">
        <f t="shared" ref="F22:F33" si="0">E22/169.4*1000/12</f>
        <v>12.298307752853207</v>
      </c>
    </row>
    <row r="23" spans="2:6" x14ac:dyDescent="0.25">
      <c r="B23" s="15" t="s">
        <v>276</v>
      </c>
      <c r="C23" s="1" t="s">
        <v>26</v>
      </c>
      <c r="D23" s="1">
        <v>80</v>
      </c>
      <c r="E23" s="1">
        <v>65</v>
      </c>
      <c r="F23" s="24">
        <f t="shared" si="0"/>
        <v>31.975600157418341</v>
      </c>
    </row>
    <row r="24" spans="2:6" x14ac:dyDescent="0.25">
      <c r="B24" s="1"/>
      <c r="C24" s="1"/>
      <c r="D24" s="1"/>
      <c r="E24" s="1"/>
      <c r="F24" s="24">
        <f t="shared" si="0"/>
        <v>0</v>
      </c>
    </row>
    <row r="25" spans="2:6" x14ac:dyDescent="0.25">
      <c r="B25" s="1"/>
      <c r="C25" s="1"/>
      <c r="D25" s="1"/>
      <c r="E25" s="1"/>
      <c r="F25" s="24">
        <f t="shared" si="0"/>
        <v>0</v>
      </c>
    </row>
    <row r="26" spans="2:6" x14ac:dyDescent="0.25">
      <c r="B26" s="1"/>
      <c r="C26" s="1"/>
      <c r="D26" s="1"/>
      <c r="E26" s="1"/>
      <c r="F26" s="24">
        <f t="shared" si="0"/>
        <v>0</v>
      </c>
    </row>
    <row r="27" spans="2:6" x14ac:dyDescent="0.25">
      <c r="B27" s="1"/>
      <c r="C27" s="1"/>
      <c r="D27" s="1"/>
      <c r="E27" s="1"/>
      <c r="F27" s="24">
        <f t="shared" si="0"/>
        <v>0</v>
      </c>
    </row>
    <row r="28" spans="2:6" x14ac:dyDescent="0.25">
      <c r="B28" s="1"/>
      <c r="C28" s="1"/>
      <c r="D28" s="1"/>
      <c r="E28" s="1"/>
      <c r="F28" s="24">
        <f t="shared" si="0"/>
        <v>0</v>
      </c>
    </row>
    <row r="29" spans="2:6" x14ac:dyDescent="0.25">
      <c r="B29" s="1"/>
      <c r="C29" s="1"/>
      <c r="D29" s="1"/>
      <c r="E29" s="1"/>
      <c r="F29" s="24">
        <f t="shared" si="0"/>
        <v>0</v>
      </c>
    </row>
    <row r="30" spans="2:6" x14ac:dyDescent="0.25">
      <c r="B30" s="1"/>
      <c r="C30" s="1"/>
      <c r="D30" s="1"/>
      <c r="E30" s="1"/>
      <c r="F30" s="24">
        <f t="shared" si="0"/>
        <v>0</v>
      </c>
    </row>
    <row r="31" spans="2:6" x14ac:dyDescent="0.25">
      <c r="B31" s="1"/>
      <c r="C31" s="1"/>
      <c r="D31" s="1"/>
      <c r="E31" s="1"/>
      <c r="F31" s="24">
        <f t="shared" si="0"/>
        <v>0</v>
      </c>
    </row>
    <row r="32" spans="2:6" x14ac:dyDescent="0.25">
      <c r="B32" s="1"/>
      <c r="C32" s="1"/>
      <c r="D32" s="1"/>
      <c r="E32" s="1"/>
      <c r="F32" s="24">
        <f t="shared" si="0"/>
        <v>0</v>
      </c>
    </row>
    <row r="33" spans="2:6" x14ac:dyDescent="0.25">
      <c r="B33" s="1"/>
      <c r="C33" s="1"/>
      <c r="D33" s="1"/>
      <c r="E33" s="1"/>
      <c r="F33" s="24">
        <f t="shared" si="0"/>
        <v>0</v>
      </c>
    </row>
    <row r="34" spans="2:6" x14ac:dyDescent="0.25">
      <c r="B34" s="10" t="s">
        <v>20</v>
      </c>
      <c r="C34" s="1"/>
      <c r="D34" s="1"/>
      <c r="E34" s="4">
        <f>SUM(E21:E33)</f>
        <v>97</v>
      </c>
      <c r="F34" s="22">
        <f>SUM(F21:F33)</f>
        <v>47.717434081070451</v>
      </c>
    </row>
    <row r="35" spans="2:6" x14ac:dyDescent="0.25">
      <c r="B35" s="4" t="s">
        <v>22</v>
      </c>
      <c r="C35" s="6"/>
      <c r="D35" s="6"/>
      <c r="E35" s="6"/>
      <c r="F35" s="23">
        <f>F19+F34</f>
        <v>61.877434081070447</v>
      </c>
    </row>
    <row r="36" spans="2:6" x14ac:dyDescent="0.25">
      <c r="B36" s="7"/>
      <c r="C36" s="7"/>
      <c r="D36" s="7"/>
      <c r="E36" s="7"/>
      <c r="F36" s="7"/>
    </row>
    <row r="37" spans="2:6" x14ac:dyDescent="0.25">
      <c r="B37" s="18"/>
      <c r="C37" s="18"/>
      <c r="D37" s="18"/>
      <c r="E37" s="18"/>
      <c r="F37" s="18"/>
    </row>
    <row r="38" spans="2:6" x14ac:dyDescent="0.25">
      <c r="B38" s="18"/>
      <c r="C38" s="18"/>
      <c r="D38" s="18"/>
      <c r="E38" s="18"/>
      <c r="F38" s="18"/>
    </row>
    <row r="39" spans="2:6" x14ac:dyDescent="0.25">
      <c r="B39" s="39" t="s">
        <v>23</v>
      </c>
      <c r="C39" s="38"/>
      <c r="D39" s="38"/>
      <c r="E39" s="39" t="s">
        <v>24</v>
      </c>
      <c r="F39" s="38"/>
    </row>
    <row r="45" spans="2:6" ht="30.6" customHeight="1" x14ac:dyDescent="0.25">
      <c r="B45" s="37" t="s">
        <v>165</v>
      </c>
      <c r="C45" s="37"/>
      <c r="D45" s="37"/>
      <c r="E45" s="37"/>
      <c r="F45" s="37"/>
    </row>
    <row r="46" spans="2:6" ht="30.6" customHeight="1" x14ac:dyDescent="0.25">
      <c r="B46" s="37" t="s">
        <v>1</v>
      </c>
      <c r="C46" s="37"/>
      <c r="D46" s="37"/>
      <c r="E46" s="37"/>
      <c r="F46" s="37"/>
    </row>
    <row r="47" spans="2:6" x14ac:dyDescent="0.25">
      <c r="B47" s="16" t="s">
        <v>0</v>
      </c>
      <c r="C47" s="16"/>
      <c r="D47" s="16"/>
      <c r="E47" s="16"/>
      <c r="F47" s="16"/>
    </row>
    <row r="48" spans="2:6" x14ac:dyDescent="0.25">
      <c r="B48" s="17"/>
      <c r="C48" s="38" t="s">
        <v>25</v>
      </c>
      <c r="D48" s="38"/>
      <c r="E48" s="17">
        <v>165.6</v>
      </c>
      <c r="F48" s="17" t="s">
        <v>26</v>
      </c>
    </row>
    <row r="50" spans="2:6" ht="60" x14ac:dyDescent="0.25">
      <c r="B50" s="1" t="s">
        <v>2</v>
      </c>
      <c r="C50" s="1" t="s">
        <v>4</v>
      </c>
      <c r="D50" s="1" t="s">
        <v>3</v>
      </c>
      <c r="E50" s="1" t="s">
        <v>447</v>
      </c>
      <c r="F50" s="1" t="s">
        <v>5</v>
      </c>
    </row>
    <row r="51" spans="2:6" x14ac:dyDescent="0.25">
      <c r="B51" s="1"/>
      <c r="C51" s="1"/>
      <c r="D51" s="1"/>
      <c r="E51" s="1"/>
      <c r="F51" s="1"/>
    </row>
    <row r="52" spans="2:6" x14ac:dyDescent="0.25">
      <c r="B52" s="3" t="s">
        <v>6</v>
      </c>
      <c r="C52" s="1"/>
      <c r="D52" s="1"/>
      <c r="E52" s="1"/>
      <c r="F52" s="1"/>
    </row>
    <row r="53" spans="2:6" x14ac:dyDescent="0.25">
      <c r="B53" s="5" t="s">
        <v>7</v>
      </c>
      <c r="C53" s="1"/>
      <c r="D53" s="1"/>
      <c r="E53" s="1"/>
      <c r="F53" s="5">
        <v>2.0099999999999998</v>
      </c>
    </row>
    <row r="54" spans="2:6" x14ac:dyDescent="0.25">
      <c r="B54" s="5" t="s">
        <v>8</v>
      </c>
      <c r="C54" s="1"/>
      <c r="D54" s="1"/>
      <c r="E54" s="1"/>
      <c r="F54" s="5">
        <v>5.34</v>
      </c>
    </row>
    <row r="55" spans="2:6" ht="24.75" x14ac:dyDescent="0.25">
      <c r="B55" s="5" t="s">
        <v>13</v>
      </c>
      <c r="C55" s="1"/>
      <c r="D55" s="1"/>
      <c r="E55" s="1"/>
      <c r="F55" s="5">
        <v>0.19</v>
      </c>
    </row>
    <row r="56" spans="2:6" ht="24.75" x14ac:dyDescent="0.25">
      <c r="B56" s="5" t="s">
        <v>9</v>
      </c>
      <c r="C56" s="1"/>
      <c r="D56" s="1"/>
      <c r="E56" s="1"/>
      <c r="F56" s="5">
        <v>0.26</v>
      </c>
    </row>
    <row r="57" spans="2:6" ht="24.75" x14ac:dyDescent="0.25">
      <c r="B57" s="5" t="s">
        <v>15</v>
      </c>
      <c r="C57" s="1"/>
      <c r="D57" s="1"/>
      <c r="E57" s="1"/>
      <c r="F57" s="5">
        <v>0.27</v>
      </c>
    </row>
    <row r="58" spans="2:6" ht="24.75" x14ac:dyDescent="0.25">
      <c r="B58" s="5" t="s">
        <v>16</v>
      </c>
      <c r="C58" s="1"/>
      <c r="D58" s="1"/>
      <c r="E58" s="1"/>
      <c r="F58" s="5">
        <v>0.28999999999999998</v>
      </c>
    </row>
    <row r="59" spans="2:6" x14ac:dyDescent="0.25">
      <c r="B59" s="5" t="s">
        <v>17</v>
      </c>
      <c r="C59" s="1"/>
      <c r="D59" s="1"/>
      <c r="E59" s="1"/>
      <c r="F59" s="5">
        <v>0.32</v>
      </c>
    </row>
    <row r="60" spans="2:6" x14ac:dyDescent="0.25">
      <c r="B60" s="5" t="s">
        <v>18</v>
      </c>
      <c r="C60" s="1"/>
      <c r="D60" s="1"/>
      <c r="E60" s="1"/>
      <c r="F60" s="5">
        <v>1.97</v>
      </c>
    </row>
    <row r="61" spans="2:6" x14ac:dyDescent="0.25">
      <c r="B61" s="5" t="s">
        <v>19</v>
      </c>
      <c r="C61" s="1"/>
      <c r="D61" s="1"/>
      <c r="E61" s="1"/>
      <c r="F61" s="5">
        <v>3.51</v>
      </c>
    </row>
    <row r="62" spans="2:6" x14ac:dyDescent="0.25">
      <c r="B62" s="10" t="s">
        <v>20</v>
      </c>
      <c r="C62" s="1"/>
      <c r="D62" s="1"/>
      <c r="E62" s="1"/>
      <c r="F62" s="4">
        <f>SUM(F53:F61)</f>
        <v>14.16</v>
      </c>
    </row>
    <row r="63" spans="2:6" x14ac:dyDescent="0.25">
      <c r="B63" s="3" t="s">
        <v>21</v>
      </c>
      <c r="C63" s="1"/>
      <c r="D63" s="1"/>
      <c r="E63" s="1"/>
      <c r="F63" s="1"/>
    </row>
    <row r="64" spans="2:6" x14ac:dyDescent="0.25">
      <c r="B64" s="15" t="s">
        <v>252</v>
      </c>
      <c r="C64" s="1" t="s">
        <v>256</v>
      </c>
      <c r="D64" s="1">
        <v>1</v>
      </c>
      <c r="E64" s="1">
        <v>40</v>
      </c>
      <c r="F64" s="24">
        <f>E64/165.6*1000/12</f>
        <v>20.128824476650564</v>
      </c>
    </row>
    <row r="65" spans="2:6" x14ac:dyDescent="0.25">
      <c r="B65" s="15" t="s">
        <v>253</v>
      </c>
      <c r="C65" s="1" t="s">
        <v>26</v>
      </c>
      <c r="D65" s="1">
        <v>30</v>
      </c>
      <c r="E65" s="1">
        <v>25</v>
      </c>
      <c r="F65" s="24">
        <f t="shared" ref="F65:F76" si="1">E65/165.6*1000/12</f>
        <v>12.580515297906603</v>
      </c>
    </row>
    <row r="66" spans="2:6" x14ac:dyDescent="0.25">
      <c r="B66" s="15" t="s">
        <v>254</v>
      </c>
      <c r="C66" s="1" t="s">
        <v>26</v>
      </c>
      <c r="D66" s="1">
        <v>26</v>
      </c>
      <c r="E66" s="1">
        <v>16</v>
      </c>
      <c r="F66" s="24">
        <f t="shared" si="1"/>
        <v>8.0515297906602257</v>
      </c>
    </row>
    <row r="67" spans="2:6" x14ac:dyDescent="0.25">
      <c r="B67" s="15" t="s">
        <v>260</v>
      </c>
      <c r="C67" s="1" t="s">
        <v>256</v>
      </c>
      <c r="D67" s="1">
        <v>1</v>
      </c>
      <c r="E67" s="1">
        <v>55</v>
      </c>
      <c r="F67" s="24">
        <f t="shared" si="1"/>
        <v>27.677133655394528</v>
      </c>
    </row>
    <row r="68" spans="2:6" x14ac:dyDescent="0.25">
      <c r="B68" s="1"/>
      <c r="C68" s="1"/>
      <c r="D68" s="1"/>
      <c r="E68" s="1"/>
      <c r="F68" s="24">
        <f t="shared" si="1"/>
        <v>0</v>
      </c>
    </row>
    <row r="69" spans="2:6" x14ac:dyDescent="0.25">
      <c r="B69" s="1"/>
      <c r="C69" s="1"/>
      <c r="D69" s="1"/>
      <c r="E69" s="1"/>
      <c r="F69" s="24">
        <f t="shared" si="1"/>
        <v>0</v>
      </c>
    </row>
    <row r="70" spans="2:6" x14ac:dyDescent="0.25">
      <c r="B70" s="1"/>
      <c r="C70" s="1"/>
      <c r="D70" s="1"/>
      <c r="E70" s="1"/>
      <c r="F70" s="24">
        <f t="shared" si="1"/>
        <v>0</v>
      </c>
    </row>
    <row r="71" spans="2:6" x14ac:dyDescent="0.25">
      <c r="B71" s="1"/>
      <c r="C71" s="1"/>
      <c r="D71" s="1"/>
      <c r="E71" s="1"/>
      <c r="F71" s="24">
        <f t="shared" si="1"/>
        <v>0</v>
      </c>
    </row>
    <row r="72" spans="2:6" x14ac:dyDescent="0.25">
      <c r="B72" s="1"/>
      <c r="C72" s="1"/>
      <c r="D72" s="1"/>
      <c r="E72" s="1"/>
      <c r="F72" s="24">
        <f t="shared" si="1"/>
        <v>0</v>
      </c>
    </row>
    <row r="73" spans="2:6" x14ac:dyDescent="0.25">
      <c r="B73" s="1"/>
      <c r="C73" s="1"/>
      <c r="D73" s="1"/>
      <c r="E73" s="1"/>
      <c r="F73" s="24">
        <f t="shared" si="1"/>
        <v>0</v>
      </c>
    </row>
    <row r="74" spans="2:6" x14ac:dyDescent="0.25">
      <c r="B74" s="1"/>
      <c r="C74" s="1"/>
      <c r="D74" s="1"/>
      <c r="E74" s="1"/>
      <c r="F74" s="24">
        <f t="shared" si="1"/>
        <v>0</v>
      </c>
    </row>
    <row r="75" spans="2:6" x14ac:dyDescent="0.25">
      <c r="B75" s="1"/>
      <c r="C75" s="1"/>
      <c r="D75" s="1"/>
      <c r="E75" s="1"/>
      <c r="F75" s="24">
        <f t="shared" si="1"/>
        <v>0</v>
      </c>
    </row>
    <row r="76" spans="2:6" x14ac:dyDescent="0.25">
      <c r="B76" s="1"/>
      <c r="C76" s="1"/>
      <c r="D76" s="1"/>
      <c r="E76" s="1"/>
      <c r="F76" s="24">
        <f t="shared" si="1"/>
        <v>0</v>
      </c>
    </row>
    <row r="77" spans="2:6" x14ac:dyDescent="0.25">
      <c r="B77" s="10" t="s">
        <v>20</v>
      </c>
      <c r="C77" s="1"/>
      <c r="D77" s="1"/>
      <c r="E77" s="4">
        <f>SUM(E64:E76)</f>
        <v>136</v>
      </c>
      <c r="F77" s="22">
        <f>SUM(F64:F76)</f>
        <v>68.438003220611918</v>
      </c>
    </row>
    <row r="78" spans="2:6" x14ac:dyDescent="0.25">
      <c r="B78" s="4" t="s">
        <v>22</v>
      </c>
      <c r="C78" s="6"/>
      <c r="D78" s="6"/>
      <c r="E78" s="6"/>
      <c r="F78" s="23">
        <f>F62+F77</f>
        <v>82.598003220611915</v>
      </c>
    </row>
    <row r="79" spans="2:6" x14ac:dyDescent="0.25">
      <c r="B79" s="7"/>
      <c r="C79" s="7"/>
      <c r="D79" s="7"/>
      <c r="E79" s="7"/>
      <c r="F79" s="7"/>
    </row>
    <row r="80" spans="2:6" x14ac:dyDescent="0.25">
      <c r="B80" s="18"/>
      <c r="C80" s="18"/>
      <c r="D80" s="18"/>
      <c r="E80" s="18"/>
      <c r="F80" s="18"/>
    </row>
    <row r="81" spans="2:6" x14ac:dyDescent="0.25">
      <c r="B81" s="18"/>
      <c r="C81" s="18"/>
      <c r="D81" s="18"/>
      <c r="E81" s="18"/>
      <c r="F81" s="18"/>
    </row>
    <row r="82" spans="2:6" x14ac:dyDescent="0.25">
      <c r="B82" s="39" t="s">
        <v>23</v>
      </c>
      <c r="C82" s="38"/>
      <c r="D82" s="38"/>
      <c r="E82" s="39" t="s">
        <v>24</v>
      </c>
      <c r="F82" s="38"/>
    </row>
    <row r="87" spans="2:6" ht="33.6" customHeight="1" x14ac:dyDescent="0.25">
      <c r="B87" s="37" t="s">
        <v>166</v>
      </c>
      <c r="C87" s="37"/>
      <c r="D87" s="37"/>
      <c r="E87" s="37"/>
      <c r="F87" s="37"/>
    </row>
    <row r="88" spans="2:6" ht="34.9" customHeight="1" x14ac:dyDescent="0.25">
      <c r="B88" s="37" t="s">
        <v>1</v>
      </c>
      <c r="C88" s="37"/>
      <c r="D88" s="37"/>
      <c r="E88" s="37"/>
      <c r="F88" s="37"/>
    </row>
    <row r="89" spans="2:6" x14ac:dyDescent="0.25">
      <c r="B89" s="16" t="s">
        <v>0</v>
      </c>
      <c r="C89" s="16"/>
      <c r="D89" s="16"/>
      <c r="E89" s="16"/>
      <c r="F89" s="16"/>
    </row>
    <row r="90" spans="2:6" x14ac:dyDescent="0.25">
      <c r="B90" s="17"/>
      <c r="C90" s="38" t="s">
        <v>25</v>
      </c>
      <c r="D90" s="38"/>
      <c r="E90" s="17">
        <v>149.19999999999999</v>
      </c>
      <c r="F90" s="17" t="s">
        <v>26</v>
      </c>
    </row>
    <row r="92" spans="2:6" ht="60" x14ac:dyDescent="0.25">
      <c r="B92" s="1" t="s">
        <v>2</v>
      </c>
      <c r="C92" s="1" t="s">
        <v>4</v>
      </c>
      <c r="D92" s="1" t="s">
        <v>3</v>
      </c>
      <c r="E92" s="1" t="s">
        <v>447</v>
      </c>
      <c r="F92" s="1" t="s">
        <v>5</v>
      </c>
    </row>
    <row r="93" spans="2:6" x14ac:dyDescent="0.25">
      <c r="B93" s="1"/>
      <c r="C93" s="1"/>
      <c r="D93" s="1"/>
      <c r="E93" s="1"/>
      <c r="F93" s="1"/>
    </row>
    <row r="94" spans="2:6" x14ac:dyDescent="0.25">
      <c r="B94" s="3" t="s">
        <v>6</v>
      </c>
      <c r="C94" s="1"/>
      <c r="D94" s="1"/>
      <c r="E94" s="1"/>
      <c r="F94" s="1"/>
    </row>
    <row r="95" spans="2:6" x14ac:dyDescent="0.25">
      <c r="B95" s="5" t="s">
        <v>7</v>
      </c>
      <c r="C95" s="1"/>
      <c r="D95" s="1"/>
      <c r="E95" s="1"/>
      <c r="F95" s="5">
        <v>2.0099999999999998</v>
      </c>
    </row>
    <row r="96" spans="2:6" x14ac:dyDescent="0.25">
      <c r="B96" s="5" t="s">
        <v>8</v>
      </c>
      <c r="C96" s="1"/>
      <c r="D96" s="1"/>
      <c r="E96" s="1"/>
      <c r="F96" s="5">
        <v>5.34</v>
      </c>
    </row>
    <row r="97" spans="2:6" ht="24.75" x14ac:dyDescent="0.25">
      <c r="B97" s="5" t="s">
        <v>13</v>
      </c>
      <c r="C97" s="1"/>
      <c r="D97" s="1"/>
      <c r="E97" s="1"/>
      <c r="F97" s="5">
        <v>0.19</v>
      </c>
    </row>
    <row r="98" spans="2:6" ht="24.75" x14ac:dyDescent="0.25">
      <c r="B98" s="5" t="s">
        <v>9</v>
      </c>
      <c r="C98" s="1"/>
      <c r="D98" s="1"/>
      <c r="E98" s="1"/>
      <c r="F98" s="5">
        <v>0.26</v>
      </c>
    </row>
    <row r="99" spans="2:6" ht="24.75" x14ac:dyDescent="0.25">
      <c r="B99" s="5" t="s">
        <v>15</v>
      </c>
      <c r="C99" s="1"/>
      <c r="D99" s="1"/>
      <c r="E99" s="1"/>
      <c r="F99" s="5">
        <v>0.27</v>
      </c>
    </row>
    <row r="100" spans="2:6" ht="24.75" x14ac:dyDescent="0.25">
      <c r="B100" s="5" t="s">
        <v>16</v>
      </c>
      <c r="C100" s="1"/>
      <c r="D100" s="1"/>
      <c r="E100" s="1"/>
      <c r="F100" s="5">
        <v>0.28999999999999998</v>
      </c>
    </row>
    <row r="101" spans="2:6" x14ac:dyDescent="0.25">
      <c r="B101" s="5" t="s">
        <v>17</v>
      </c>
      <c r="C101" s="1"/>
      <c r="D101" s="1"/>
      <c r="E101" s="1"/>
      <c r="F101" s="5">
        <v>0.32</v>
      </c>
    </row>
    <row r="102" spans="2:6" x14ac:dyDescent="0.25">
      <c r="B102" s="5" t="s">
        <v>18</v>
      </c>
      <c r="C102" s="1"/>
      <c r="D102" s="1"/>
      <c r="E102" s="1"/>
      <c r="F102" s="5">
        <v>1.97</v>
      </c>
    </row>
    <row r="103" spans="2:6" x14ac:dyDescent="0.25">
      <c r="B103" s="5" t="s">
        <v>19</v>
      </c>
      <c r="C103" s="1"/>
      <c r="D103" s="1"/>
      <c r="E103" s="1"/>
      <c r="F103" s="5">
        <v>3.51</v>
      </c>
    </row>
    <row r="104" spans="2:6" x14ac:dyDescent="0.25">
      <c r="B104" s="10" t="s">
        <v>20</v>
      </c>
      <c r="C104" s="1"/>
      <c r="D104" s="1"/>
      <c r="E104" s="1"/>
      <c r="F104" s="4">
        <f>SUM(F95:F103)</f>
        <v>14.16</v>
      </c>
    </row>
    <row r="105" spans="2:6" x14ac:dyDescent="0.25">
      <c r="B105" s="3" t="s">
        <v>21</v>
      </c>
      <c r="C105" s="1"/>
      <c r="D105" s="1"/>
      <c r="E105" s="1"/>
      <c r="F105" s="1"/>
    </row>
    <row r="106" spans="2:6" x14ac:dyDescent="0.25">
      <c r="B106" s="15" t="s">
        <v>253</v>
      </c>
      <c r="C106" s="1" t="s">
        <v>26</v>
      </c>
      <c r="D106" s="1">
        <v>30</v>
      </c>
      <c r="E106" s="1">
        <v>25</v>
      </c>
      <c r="F106" s="24">
        <f>E106/149.2*1000/12</f>
        <v>13.96336014298481</v>
      </c>
    </row>
    <row r="107" spans="2:6" x14ac:dyDescent="0.25">
      <c r="B107" s="15" t="s">
        <v>293</v>
      </c>
      <c r="C107" s="1" t="s">
        <v>26</v>
      </c>
      <c r="D107" s="1">
        <v>16</v>
      </c>
      <c r="E107" s="1">
        <v>8</v>
      </c>
      <c r="F107" s="24">
        <f t="shared" ref="F107:F118" si="2">E107/149.2*1000/12</f>
        <v>4.4682752457551382</v>
      </c>
    </row>
    <row r="108" spans="2:6" x14ac:dyDescent="0.25">
      <c r="B108" s="15" t="s">
        <v>254</v>
      </c>
      <c r="C108" s="1" t="s">
        <v>26</v>
      </c>
      <c r="D108" s="1">
        <v>26</v>
      </c>
      <c r="E108" s="1">
        <v>16</v>
      </c>
      <c r="F108" s="24">
        <f t="shared" si="2"/>
        <v>8.9365504915102765</v>
      </c>
    </row>
    <row r="109" spans="2:6" x14ac:dyDescent="0.25">
      <c r="B109" s="1"/>
      <c r="C109" s="1"/>
      <c r="D109" s="1"/>
      <c r="E109" s="1"/>
      <c r="F109" s="24">
        <f t="shared" si="2"/>
        <v>0</v>
      </c>
    </row>
    <row r="110" spans="2:6" x14ac:dyDescent="0.25">
      <c r="B110" s="1"/>
      <c r="C110" s="1"/>
      <c r="D110" s="1"/>
      <c r="E110" s="1"/>
      <c r="F110" s="24">
        <f t="shared" si="2"/>
        <v>0</v>
      </c>
    </row>
    <row r="111" spans="2:6" x14ac:dyDescent="0.25">
      <c r="B111" s="1"/>
      <c r="C111" s="1"/>
      <c r="D111" s="1"/>
      <c r="E111" s="1"/>
      <c r="F111" s="24">
        <f t="shared" si="2"/>
        <v>0</v>
      </c>
    </row>
    <row r="112" spans="2:6" x14ac:dyDescent="0.25">
      <c r="B112" s="1"/>
      <c r="C112" s="1"/>
      <c r="D112" s="1"/>
      <c r="E112" s="1"/>
      <c r="F112" s="24">
        <f t="shared" si="2"/>
        <v>0</v>
      </c>
    </row>
    <row r="113" spans="2:6" x14ac:dyDescent="0.25">
      <c r="B113" s="1"/>
      <c r="C113" s="1"/>
      <c r="D113" s="1"/>
      <c r="E113" s="1"/>
      <c r="F113" s="24">
        <f t="shared" si="2"/>
        <v>0</v>
      </c>
    </row>
    <row r="114" spans="2:6" x14ac:dyDescent="0.25">
      <c r="B114" s="1"/>
      <c r="C114" s="1"/>
      <c r="D114" s="1"/>
      <c r="E114" s="1"/>
      <c r="F114" s="24">
        <f t="shared" si="2"/>
        <v>0</v>
      </c>
    </row>
    <row r="115" spans="2:6" x14ac:dyDescent="0.25">
      <c r="B115" s="1"/>
      <c r="C115" s="1"/>
      <c r="D115" s="1"/>
      <c r="E115" s="1"/>
      <c r="F115" s="24">
        <f t="shared" si="2"/>
        <v>0</v>
      </c>
    </row>
    <row r="116" spans="2:6" x14ac:dyDescent="0.25">
      <c r="B116" s="1"/>
      <c r="C116" s="1"/>
      <c r="D116" s="1"/>
      <c r="E116" s="1"/>
      <c r="F116" s="24">
        <f t="shared" si="2"/>
        <v>0</v>
      </c>
    </row>
    <row r="117" spans="2:6" x14ac:dyDescent="0.25">
      <c r="B117" s="1"/>
      <c r="C117" s="1"/>
      <c r="D117" s="1"/>
      <c r="E117" s="1"/>
      <c r="F117" s="24">
        <f t="shared" si="2"/>
        <v>0</v>
      </c>
    </row>
    <row r="118" spans="2:6" x14ac:dyDescent="0.25">
      <c r="B118" s="1"/>
      <c r="C118" s="1"/>
      <c r="D118" s="1"/>
      <c r="E118" s="1"/>
      <c r="F118" s="24">
        <f t="shared" si="2"/>
        <v>0</v>
      </c>
    </row>
    <row r="119" spans="2:6" x14ac:dyDescent="0.25">
      <c r="B119" s="10" t="s">
        <v>20</v>
      </c>
      <c r="C119" s="1"/>
      <c r="D119" s="1"/>
      <c r="E119" s="4">
        <f>SUM(E106:E118)</f>
        <v>49</v>
      </c>
      <c r="F119" s="22">
        <f>SUM(F106:F118)</f>
        <v>27.368185880250223</v>
      </c>
    </row>
    <row r="120" spans="2:6" x14ac:dyDescent="0.25">
      <c r="B120" s="4" t="s">
        <v>22</v>
      </c>
      <c r="C120" s="6"/>
      <c r="D120" s="6"/>
      <c r="E120" s="6"/>
      <c r="F120" s="23">
        <f>F104+F119</f>
        <v>41.52818588025022</v>
      </c>
    </row>
    <row r="121" spans="2:6" x14ac:dyDescent="0.25">
      <c r="B121" s="7"/>
      <c r="C121" s="7"/>
      <c r="D121" s="7"/>
      <c r="E121" s="7"/>
      <c r="F121" s="7"/>
    </row>
    <row r="122" spans="2:6" x14ac:dyDescent="0.25">
      <c r="B122" s="18"/>
      <c r="C122" s="18"/>
      <c r="D122" s="18"/>
      <c r="E122" s="18"/>
      <c r="F122" s="18"/>
    </row>
    <row r="123" spans="2:6" x14ac:dyDescent="0.25">
      <c r="B123" s="18"/>
      <c r="C123" s="18"/>
      <c r="D123" s="18"/>
      <c r="E123" s="18"/>
      <c r="F123" s="18"/>
    </row>
    <row r="124" spans="2:6" x14ac:dyDescent="0.25">
      <c r="B124" s="39" t="s">
        <v>23</v>
      </c>
      <c r="C124" s="38"/>
      <c r="D124" s="38"/>
      <c r="E124" s="39" t="s">
        <v>24</v>
      </c>
      <c r="F124" s="38"/>
    </row>
    <row r="129" spans="2:6" ht="36" customHeight="1" x14ac:dyDescent="0.25">
      <c r="B129" s="37" t="s">
        <v>167</v>
      </c>
      <c r="C129" s="37"/>
      <c r="D129" s="37"/>
      <c r="E129" s="37"/>
      <c r="F129" s="37"/>
    </row>
    <row r="130" spans="2:6" ht="34.9" customHeight="1" x14ac:dyDescent="0.25">
      <c r="B130" s="37" t="s">
        <v>1</v>
      </c>
      <c r="C130" s="37"/>
      <c r="D130" s="37"/>
      <c r="E130" s="37"/>
      <c r="F130" s="37"/>
    </row>
    <row r="131" spans="2:6" x14ac:dyDescent="0.25">
      <c r="B131" s="16" t="s">
        <v>0</v>
      </c>
      <c r="C131" s="16"/>
      <c r="D131" s="16"/>
      <c r="E131" s="16"/>
      <c r="F131" s="16"/>
    </row>
    <row r="132" spans="2:6" x14ac:dyDescent="0.25">
      <c r="B132" s="17"/>
      <c r="C132" s="38" t="s">
        <v>25</v>
      </c>
      <c r="D132" s="38"/>
      <c r="E132" s="17">
        <v>166.3</v>
      </c>
      <c r="F132" s="17" t="s">
        <v>26</v>
      </c>
    </row>
    <row r="134" spans="2:6" ht="60" x14ac:dyDescent="0.25">
      <c r="B134" s="1" t="s">
        <v>2</v>
      </c>
      <c r="C134" s="1" t="s">
        <v>4</v>
      </c>
      <c r="D134" s="1" t="s">
        <v>3</v>
      </c>
      <c r="E134" s="1" t="s">
        <v>447</v>
      </c>
      <c r="F134" s="1" t="s">
        <v>5</v>
      </c>
    </row>
    <row r="135" spans="2:6" x14ac:dyDescent="0.25">
      <c r="B135" s="1"/>
      <c r="C135" s="1"/>
      <c r="D135" s="1"/>
      <c r="E135" s="1"/>
      <c r="F135" s="1"/>
    </row>
    <row r="136" spans="2:6" x14ac:dyDescent="0.25">
      <c r="B136" s="3" t="s">
        <v>6</v>
      </c>
      <c r="C136" s="1"/>
      <c r="D136" s="1"/>
      <c r="E136" s="1"/>
      <c r="F136" s="1"/>
    </row>
    <row r="137" spans="2:6" x14ac:dyDescent="0.25">
      <c r="B137" s="5" t="s">
        <v>7</v>
      </c>
      <c r="C137" s="1"/>
      <c r="D137" s="1"/>
      <c r="E137" s="1"/>
      <c r="F137" s="5">
        <v>2.0099999999999998</v>
      </c>
    </row>
    <row r="138" spans="2:6" x14ac:dyDescent="0.25">
      <c r="B138" s="5" t="s">
        <v>8</v>
      </c>
      <c r="C138" s="1"/>
      <c r="D138" s="1"/>
      <c r="E138" s="1"/>
      <c r="F138" s="5">
        <v>5.34</v>
      </c>
    </row>
    <row r="139" spans="2:6" ht="24.75" x14ac:dyDescent="0.25">
      <c r="B139" s="5" t="s">
        <v>13</v>
      </c>
      <c r="C139" s="1"/>
      <c r="D139" s="1"/>
      <c r="E139" s="1"/>
      <c r="F139" s="5">
        <v>0.19</v>
      </c>
    </row>
    <row r="140" spans="2:6" ht="24.75" x14ac:dyDescent="0.25">
      <c r="B140" s="5" t="s">
        <v>9</v>
      </c>
      <c r="C140" s="1"/>
      <c r="D140" s="1"/>
      <c r="E140" s="1"/>
      <c r="F140" s="5">
        <v>0.26</v>
      </c>
    </row>
    <row r="141" spans="2:6" ht="24.75" x14ac:dyDescent="0.25">
      <c r="B141" s="5" t="s">
        <v>15</v>
      </c>
      <c r="C141" s="1"/>
      <c r="D141" s="1"/>
      <c r="E141" s="1"/>
      <c r="F141" s="5">
        <v>0.27</v>
      </c>
    </row>
    <row r="142" spans="2:6" ht="24.75" x14ac:dyDescent="0.25">
      <c r="B142" s="5" t="s">
        <v>16</v>
      </c>
      <c r="C142" s="1"/>
      <c r="D142" s="1"/>
      <c r="E142" s="1"/>
      <c r="F142" s="5">
        <v>0.28999999999999998</v>
      </c>
    </row>
    <row r="143" spans="2:6" x14ac:dyDescent="0.25">
      <c r="B143" s="5" t="s">
        <v>17</v>
      </c>
      <c r="C143" s="1"/>
      <c r="D143" s="1"/>
      <c r="E143" s="1"/>
      <c r="F143" s="5">
        <v>0.32</v>
      </c>
    </row>
    <row r="144" spans="2:6" x14ac:dyDescent="0.25">
      <c r="B144" s="5" t="s">
        <v>18</v>
      </c>
      <c r="C144" s="1"/>
      <c r="D144" s="1"/>
      <c r="E144" s="1"/>
      <c r="F144" s="5">
        <v>1.97</v>
      </c>
    </row>
    <row r="145" spans="2:6" x14ac:dyDescent="0.25">
      <c r="B145" s="5" t="s">
        <v>19</v>
      </c>
      <c r="C145" s="1"/>
      <c r="D145" s="1"/>
      <c r="E145" s="1"/>
      <c r="F145" s="5">
        <v>3.51</v>
      </c>
    </row>
    <row r="146" spans="2:6" x14ac:dyDescent="0.25">
      <c r="B146" s="10" t="s">
        <v>20</v>
      </c>
      <c r="C146" s="1"/>
      <c r="D146" s="1"/>
      <c r="E146" s="1"/>
      <c r="F146" s="4">
        <f>SUM(F137:F145)</f>
        <v>14.16</v>
      </c>
    </row>
    <row r="147" spans="2:6" x14ac:dyDescent="0.25">
      <c r="B147" s="3" t="s">
        <v>21</v>
      </c>
      <c r="C147" s="1"/>
      <c r="D147" s="1"/>
      <c r="E147" s="1"/>
      <c r="F147" s="1"/>
    </row>
    <row r="148" spans="2:6" x14ac:dyDescent="0.25">
      <c r="B148" s="15" t="s">
        <v>252</v>
      </c>
      <c r="C148" s="1" t="s">
        <v>256</v>
      </c>
      <c r="D148" s="1">
        <v>1</v>
      </c>
      <c r="E148" s="1">
        <v>40</v>
      </c>
      <c r="F148" s="24">
        <f>E148/166.3*1000/12</f>
        <v>20.044097013429543</v>
      </c>
    </row>
    <row r="149" spans="2:6" x14ac:dyDescent="0.25">
      <c r="B149" s="15" t="s">
        <v>278</v>
      </c>
      <c r="C149" s="1" t="s">
        <v>26</v>
      </c>
      <c r="D149" s="1">
        <v>8</v>
      </c>
      <c r="E149" s="1">
        <v>4</v>
      </c>
      <c r="F149" s="24">
        <f t="shared" ref="F149:F160" si="3">E149/166.3*1000/12</f>
        <v>2.0044097013429543</v>
      </c>
    </row>
    <row r="150" spans="2:6" x14ac:dyDescent="0.25">
      <c r="B150" s="15" t="s">
        <v>253</v>
      </c>
      <c r="C150" s="1" t="s">
        <v>26</v>
      </c>
      <c r="D150" s="1">
        <v>35</v>
      </c>
      <c r="E150" s="1">
        <v>25</v>
      </c>
      <c r="F150" s="24">
        <f t="shared" si="3"/>
        <v>12.527560633393465</v>
      </c>
    </row>
    <row r="151" spans="2:6" x14ac:dyDescent="0.25">
      <c r="B151" s="15" t="s">
        <v>276</v>
      </c>
      <c r="C151" s="1" t="s">
        <v>26</v>
      </c>
      <c r="D151" s="1">
        <v>25</v>
      </c>
      <c r="E151" s="1">
        <v>20</v>
      </c>
      <c r="F151" s="24">
        <f t="shared" si="3"/>
        <v>10.022048506714771</v>
      </c>
    </row>
    <row r="152" spans="2:6" x14ac:dyDescent="0.25">
      <c r="B152" s="1"/>
      <c r="C152" s="1"/>
      <c r="D152" s="1"/>
      <c r="E152" s="1"/>
      <c r="F152" s="24">
        <f t="shared" si="3"/>
        <v>0</v>
      </c>
    </row>
    <row r="153" spans="2:6" x14ac:dyDescent="0.25">
      <c r="B153" s="1"/>
      <c r="C153" s="1"/>
      <c r="D153" s="1"/>
      <c r="E153" s="1"/>
      <c r="F153" s="24">
        <f t="shared" si="3"/>
        <v>0</v>
      </c>
    </row>
    <row r="154" spans="2:6" x14ac:dyDescent="0.25">
      <c r="B154" s="1"/>
      <c r="C154" s="1"/>
      <c r="D154" s="1"/>
      <c r="E154" s="1"/>
      <c r="F154" s="24">
        <f t="shared" si="3"/>
        <v>0</v>
      </c>
    </row>
    <row r="155" spans="2:6" x14ac:dyDescent="0.25">
      <c r="B155" s="1"/>
      <c r="C155" s="1"/>
      <c r="D155" s="1"/>
      <c r="E155" s="1"/>
      <c r="F155" s="24">
        <f t="shared" si="3"/>
        <v>0</v>
      </c>
    </row>
    <row r="156" spans="2:6" x14ac:dyDescent="0.25">
      <c r="B156" s="1"/>
      <c r="C156" s="1"/>
      <c r="D156" s="1"/>
      <c r="E156" s="1"/>
      <c r="F156" s="24">
        <f t="shared" si="3"/>
        <v>0</v>
      </c>
    </row>
    <row r="157" spans="2:6" x14ac:dyDescent="0.25">
      <c r="B157" s="1"/>
      <c r="C157" s="1"/>
      <c r="D157" s="1"/>
      <c r="E157" s="1"/>
      <c r="F157" s="24">
        <f t="shared" si="3"/>
        <v>0</v>
      </c>
    </row>
    <row r="158" spans="2:6" x14ac:dyDescent="0.25">
      <c r="B158" s="1"/>
      <c r="C158" s="1"/>
      <c r="D158" s="1"/>
      <c r="E158" s="1"/>
      <c r="F158" s="24">
        <f t="shared" si="3"/>
        <v>0</v>
      </c>
    </row>
    <row r="159" spans="2:6" x14ac:dyDescent="0.25">
      <c r="B159" s="1"/>
      <c r="C159" s="1"/>
      <c r="D159" s="1"/>
      <c r="E159" s="1"/>
      <c r="F159" s="24">
        <f t="shared" si="3"/>
        <v>0</v>
      </c>
    </row>
    <row r="160" spans="2:6" x14ac:dyDescent="0.25">
      <c r="B160" s="1"/>
      <c r="C160" s="1"/>
      <c r="D160" s="1"/>
      <c r="E160" s="1"/>
      <c r="F160" s="24">
        <f t="shared" si="3"/>
        <v>0</v>
      </c>
    </row>
    <row r="161" spans="2:6" x14ac:dyDescent="0.25">
      <c r="B161" s="10" t="s">
        <v>20</v>
      </c>
      <c r="C161" s="1"/>
      <c r="D161" s="1"/>
      <c r="E161" s="4">
        <f>SUM(E148:E160)</f>
        <v>89</v>
      </c>
      <c r="F161" s="22">
        <f>SUM(F148:F160)</f>
        <v>44.598115854880731</v>
      </c>
    </row>
    <row r="162" spans="2:6" x14ac:dyDescent="0.25">
      <c r="B162" s="4" t="s">
        <v>22</v>
      </c>
      <c r="C162" s="6"/>
      <c r="D162" s="6"/>
      <c r="E162" s="6"/>
      <c r="F162" s="23">
        <f>F146+F161</f>
        <v>58.758115854880728</v>
      </c>
    </row>
    <row r="163" spans="2:6" x14ac:dyDescent="0.25">
      <c r="B163" s="7"/>
      <c r="C163" s="7"/>
      <c r="D163" s="7"/>
      <c r="E163" s="7"/>
      <c r="F163" s="7"/>
    </row>
    <row r="164" spans="2:6" x14ac:dyDescent="0.25">
      <c r="B164" s="18"/>
      <c r="C164" s="18"/>
      <c r="D164" s="18"/>
      <c r="E164" s="18"/>
      <c r="F164" s="18"/>
    </row>
    <row r="165" spans="2:6" x14ac:dyDescent="0.25">
      <c r="B165" s="18"/>
      <c r="C165" s="18"/>
      <c r="D165" s="18"/>
      <c r="E165" s="18"/>
      <c r="F165" s="18"/>
    </row>
    <row r="166" spans="2:6" x14ac:dyDescent="0.25">
      <c r="B166" s="39" t="s">
        <v>23</v>
      </c>
      <c r="C166" s="38"/>
      <c r="D166" s="38"/>
      <c r="E166" s="39" t="s">
        <v>24</v>
      </c>
      <c r="F166" s="38"/>
    </row>
    <row r="172" spans="2:6" ht="36.6" customHeight="1" x14ac:dyDescent="0.25">
      <c r="B172" s="37" t="s">
        <v>168</v>
      </c>
      <c r="C172" s="37"/>
      <c r="D172" s="37"/>
      <c r="E172" s="37"/>
      <c r="F172" s="37"/>
    </row>
    <row r="173" spans="2:6" ht="34.15" customHeight="1" x14ac:dyDescent="0.25">
      <c r="B173" s="37" t="s">
        <v>1</v>
      </c>
      <c r="C173" s="37"/>
      <c r="D173" s="37"/>
      <c r="E173" s="37"/>
      <c r="F173" s="37"/>
    </row>
    <row r="174" spans="2:6" x14ac:dyDescent="0.25">
      <c r="B174" s="16" t="s">
        <v>0</v>
      </c>
      <c r="C174" s="16"/>
      <c r="D174" s="16"/>
      <c r="E174" s="16"/>
      <c r="F174" s="16"/>
    </row>
    <row r="175" spans="2:6" x14ac:dyDescent="0.25">
      <c r="B175" s="17"/>
      <c r="C175" s="38" t="s">
        <v>25</v>
      </c>
      <c r="D175" s="38"/>
      <c r="E175" s="17">
        <v>545.20000000000005</v>
      </c>
      <c r="F175" s="17" t="s">
        <v>26</v>
      </c>
    </row>
    <row r="177" spans="2:6" ht="60" x14ac:dyDescent="0.25">
      <c r="B177" s="1" t="s">
        <v>2</v>
      </c>
      <c r="C177" s="1" t="s">
        <v>4</v>
      </c>
      <c r="D177" s="1" t="s">
        <v>3</v>
      </c>
      <c r="E177" s="1" t="s">
        <v>447</v>
      </c>
      <c r="F177" s="1" t="s">
        <v>5</v>
      </c>
    </row>
    <row r="178" spans="2:6" x14ac:dyDescent="0.25">
      <c r="B178" s="1"/>
      <c r="C178" s="1"/>
      <c r="D178" s="1"/>
      <c r="E178" s="1"/>
      <c r="F178" s="1"/>
    </row>
    <row r="179" spans="2:6" x14ac:dyDescent="0.25">
      <c r="B179" s="3" t="s">
        <v>6</v>
      </c>
      <c r="C179" s="1"/>
      <c r="D179" s="1"/>
      <c r="E179" s="1"/>
      <c r="F179" s="1"/>
    </row>
    <row r="180" spans="2:6" x14ac:dyDescent="0.25">
      <c r="B180" s="5" t="s">
        <v>7</v>
      </c>
      <c r="C180" s="1"/>
      <c r="D180" s="1"/>
      <c r="E180" s="1"/>
      <c r="F180" s="5">
        <v>2.0099999999999998</v>
      </c>
    </row>
    <row r="181" spans="2:6" x14ac:dyDescent="0.25">
      <c r="B181" s="5" t="s">
        <v>8</v>
      </c>
      <c r="C181" s="1"/>
      <c r="D181" s="1"/>
      <c r="E181" s="1"/>
      <c r="F181" s="5">
        <v>5.34</v>
      </c>
    </row>
    <row r="182" spans="2:6" ht="24.75" x14ac:dyDescent="0.25">
      <c r="B182" s="5" t="s">
        <v>13</v>
      </c>
      <c r="C182" s="1"/>
      <c r="D182" s="1"/>
      <c r="E182" s="1"/>
      <c r="F182" s="5">
        <v>0.19</v>
      </c>
    </row>
    <row r="183" spans="2:6" ht="24.75" x14ac:dyDescent="0.25">
      <c r="B183" s="5" t="s">
        <v>9</v>
      </c>
      <c r="C183" s="1"/>
      <c r="D183" s="1"/>
      <c r="E183" s="1"/>
      <c r="F183" s="5">
        <v>0.26</v>
      </c>
    </row>
    <row r="184" spans="2:6" ht="24.75" x14ac:dyDescent="0.25">
      <c r="B184" s="5" t="s">
        <v>12</v>
      </c>
      <c r="C184" s="1"/>
      <c r="D184" s="1"/>
      <c r="E184" s="1"/>
      <c r="F184" s="5">
        <v>0.51</v>
      </c>
    </row>
    <row r="185" spans="2:6" ht="24.75" x14ac:dyDescent="0.25">
      <c r="B185" s="5" t="s">
        <v>15</v>
      </c>
      <c r="C185" s="1"/>
      <c r="D185" s="1"/>
      <c r="E185" s="1"/>
      <c r="F185" s="5">
        <v>0.27</v>
      </c>
    </row>
    <row r="186" spans="2:6" ht="24.75" x14ac:dyDescent="0.25">
      <c r="B186" s="5" t="s">
        <v>16</v>
      </c>
      <c r="C186" s="1"/>
      <c r="D186" s="1"/>
      <c r="E186" s="1"/>
      <c r="F186" s="5">
        <v>0.28999999999999998</v>
      </c>
    </row>
    <row r="187" spans="2:6" x14ac:dyDescent="0.25">
      <c r="B187" s="5" t="s">
        <v>17</v>
      </c>
      <c r="C187" s="1"/>
      <c r="D187" s="1"/>
      <c r="E187" s="1"/>
      <c r="F187" s="5">
        <v>0.32</v>
      </c>
    </row>
    <row r="188" spans="2:6" x14ac:dyDescent="0.25">
      <c r="B188" s="5" t="s">
        <v>18</v>
      </c>
      <c r="C188" s="1"/>
      <c r="D188" s="1"/>
      <c r="E188" s="1"/>
      <c r="F188" s="5">
        <v>1.97</v>
      </c>
    </row>
    <row r="189" spans="2:6" x14ac:dyDescent="0.25">
      <c r="B189" s="5" t="s">
        <v>19</v>
      </c>
      <c r="C189" s="1"/>
      <c r="D189" s="1"/>
      <c r="E189" s="1"/>
      <c r="F189" s="5">
        <v>3.51</v>
      </c>
    </row>
    <row r="190" spans="2:6" x14ac:dyDescent="0.25">
      <c r="B190" s="10" t="s">
        <v>20</v>
      </c>
      <c r="C190" s="1"/>
      <c r="D190" s="1"/>
      <c r="E190" s="1"/>
      <c r="F190" s="4">
        <f>SUM(F180:F189)</f>
        <v>14.67</v>
      </c>
    </row>
    <row r="191" spans="2:6" x14ac:dyDescent="0.25">
      <c r="B191" s="3" t="s">
        <v>21</v>
      </c>
      <c r="C191" s="1"/>
      <c r="D191" s="1"/>
      <c r="E191" s="1"/>
      <c r="F191" s="1"/>
    </row>
    <row r="192" spans="2:6" x14ac:dyDescent="0.25">
      <c r="B192" s="15" t="s">
        <v>252</v>
      </c>
      <c r="C192" s="1" t="s">
        <v>256</v>
      </c>
      <c r="D192" s="1">
        <v>1</v>
      </c>
      <c r="E192" s="1">
        <v>40</v>
      </c>
      <c r="F192" s="24">
        <f>E192/545.2*1000/12</f>
        <v>6.1139642944485191</v>
      </c>
    </row>
    <row r="193" spans="2:6" x14ac:dyDescent="0.25">
      <c r="B193" s="15" t="s">
        <v>253</v>
      </c>
      <c r="C193" s="1" t="s">
        <v>26</v>
      </c>
      <c r="D193" s="1">
        <v>85</v>
      </c>
      <c r="E193" s="1">
        <v>60</v>
      </c>
      <c r="F193" s="24">
        <f t="shared" ref="F193:F204" si="4">E193/545.2*1000/12</f>
        <v>9.1709464416727808</v>
      </c>
    </row>
    <row r="194" spans="2:6" x14ac:dyDescent="0.25">
      <c r="B194" s="1"/>
      <c r="C194" s="1"/>
      <c r="D194" s="1"/>
      <c r="E194" s="1"/>
      <c r="F194" s="24">
        <f t="shared" si="4"/>
        <v>0</v>
      </c>
    </row>
    <row r="195" spans="2:6" x14ac:dyDescent="0.25">
      <c r="B195" s="1"/>
      <c r="C195" s="1"/>
      <c r="D195" s="1"/>
      <c r="E195" s="1"/>
      <c r="F195" s="24">
        <f t="shared" si="4"/>
        <v>0</v>
      </c>
    </row>
    <row r="196" spans="2:6" x14ac:dyDescent="0.25">
      <c r="B196" s="1"/>
      <c r="C196" s="1"/>
      <c r="D196" s="1"/>
      <c r="E196" s="1"/>
      <c r="F196" s="24">
        <f t="shared" si="4"/>
        <v>0</v>
      </c>
    </row>
    <row r="197" spans="2:6" x14ac:dyDescent="0.25">
      <c r="B197" s="1"/>
      <c r="C197" s="1"/>
      <c r="D197" s="1"/>
      <c r="E197" s="1"/>
      <c r="F197" s="24">
        <f t="shared" si="4"/>
        <v>0</v>
      </c>
    </row>
    <row r="198" spans="2:6" x14ac:dyDescent="0.25">
      <c r="B198" s="1"/>
      <c r="C198" s="1"/>
      <c r="D198" s="1"/>
      <c r="E198" s="1"/>
      <c r="F198" s="24">
        <f t="shared" si="4"/>
        <v>0</v>
      </c>
    </row>
    <row r="199" spans="2:6" x14ac:dyDescent="0.25">
      <c r="B199" s="1"/>
      <c r="C199" s="1"/>
      <c r="D199" s="1"/>
      <c r="E199" s="1"/>
      <c r="F199" s="24">
        <f t="shared" si="4"/>
        <v>0</v>
      </c>
    </row>
    <row r="200" spans="2:6" x14ac:dyDescent="0.25">
      <c r="B200" s="1"/>
      <c r="C200" s="1"/>
      <c r="D200" s="1"/>
      <c r="E200" s="1"/>
      <c r="F200" s="24">
        <f t="shared" si="4"/>
        <v>0</v>
      </c>
    </row>
    <row r="201" spans="2:6" x14ac:dyDescent="0.25">
      <c r="B201" s="1"/>
      <c r="C201" s="1"/>
      <c r="D201" s="1"/>
      <c r="E201" s="1"/>
      <c r="F201" s="24">
        <f t="shared" si="4"/>
        <v>0</v>
      </c>
    </row>
    <row r="202" spans="2:6" x14ac:dyDescent="0.25">
      <c r="B202" s="1"/>
      <c r="C202" s="1"/>
      <c r="D202" s="1"/>
      <c r="E202" s="1"/>
      <c r="F202" s="24">
        <f t="shared" si="4"/>
        <v>0</v>
      </c>
    </row>
    <row r="203" spans="2:6" x14ac:dyDescent="0.25">
      <c r="B203" s="1"/>
      <c r="C203" s="1"/>
      <c r="D203" s="1"/>
      <c r="E203" s="1"/>
      <c r="F203" s="24">
        <f t="shared" si="4"/>
        <v>0</v>
      </c>
    </row>
    <row r="204" spans="2:6" x14ac:dyDescent="0.25">
      <c r="B204" s="1"/>
      <c r="C204" s="1"/>
      <c r="D204" s="1"/>
      <c r="E204" s="1"/>
      <c r="F204" s="24">
        <f t="shared" si="4"/>
        <v>0</v>
      </c>
    </row>
    <row r="205" spans="2:6" x14ac:dyDescent="0.25">
      <c r="B205" s="10" t="s">
        <v>20</v>
      </c>
      <c r="C205" s="1"/>
      <c r="D205" s="1"/>
      <c r="E205" s="4">
        <f>SUM(E192:E204)</f>
        <v>100</v>
      </c>
      <c r="F205" s="22">
        <f>SUM(F192:F204)</f>
        <v>15.284910736121301</v>
      </c>
    </row>
    <row r="206" spans="2:6" x14ac:dyDescent="0.25">
      <c r="B206" s="4" t="s">
        <v>22</v>
      </c>
      <c r="C206" s="6"/>
      <c r="D206" s="6"/>
      <c r="E206" s="6"/>
      <c r="F206" s="23">
        <f>F190+F205</f>
        <v>29.954910736121299</v>
      </c>
    </row>
    <row r="207" spans="2:6" x14ac:dyDescent="0.25">
      <c r="B207" s="7"/>
      <c r="C207" s="7"/>
      <c r="D207" s="7"/>
      <c r="E207" s="7"/>
      <c r="F207" s="7"/>
    </row>
    <row r="208" spans="2:6" x14ac:dyDescent="0.25">
      <c r="B208" s="18"/>
      <c r="C208" s="18"/>
      <c r="D208" s="18"/>
      <c r="E208" s="18"/>
      <c r="F208" s="18"/>
    </row>
    <row r="209" spans="2:6" x14ac:dyDescent="0.25">
      <c r="B209" s="18"/>
      <c r="C209" s="18"/>
      <c r="D209" s="18"/>
      <c r="E209" s="18"/>
      <c r="F209" s="18"/>
    </row>
    <row r="210" spans="2:6" x14ac:dyDescent="0.25">
      <c r="B210" s="39" t="s">
        <v>23</v>
      </c>
      <c r="C210" s="38"/>
      <c r="D210" s="38"/>
      <c r="E210" s="39" t="s">
        <v>24</v>
      </c>
      <c r="F210" s="38"/>
    </row>
  </sheetData>
  <mergeCells count="25">
    <mergeCell ref="B88:F88"/>
    <mergeCell ref="B2:F2"/>
    <mergeCell ref="B3:F3"/>
    <mergeCell ref="C5:D5"/>
    <mergeCell ref="B39:D39"/>
    <mergeCell ref="E39:F39"/>
    <mergeCell ref="B45:F45"/>
    <mergeCell ref="B46:F46"/>
    <mergeCell ref="C48:D48"/>
    <mergeCell ref="B82:D82"/>
    <mergeCell ref="E82:F82"/>
    <mergeCell ref="B87:F87"/>
    <mergeCell ref="B210:D210"/>
    <mergeCell ref="E210:F210"/>
    <mergeCell ref="C90:D90"/>
    <mergeCell ref="B124:D124"/>
    <mergeCell ref="E124:F124"/>
    <mergeCell ref="B129:F129"/>
    <mergeCell ref="B130:F130"/>
    <mergeCell ref="C132:D132"/>
    <mergeCell ref="B166:D166"/>
    <mergeCell ref="E166:F166"/>
    <mergeCell ref="B172:F172"/>
    <mergeCell ref="B173:F173"/>
    <mergeCell ref="C175:D175"/>
  </mergeCells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68"/>
  <sheetViews>
    <sheetView topLeftCell="A964" workbookViewId="0">
      <selection activeCell="E933" sqref="E933"/>
    </sheetView>
  </sheetViews>
  <sheetFormatPr defaultRowHeight="15" x14ac:dyDescent="0.25"/>
  <cols>
    <col min="2" max="2" width="40.85546875" customWidth="1"/>
    <col min="6" max="6" width="14.7109375" bestFit="1" customWidth="1"/>
  </cols>
  <sheetData>
    <row r="2" spans="2:6" ht="36" customHeight="1" x14ac:dyDescent="0.25">
      <c r="B2" s="37" t="s">
        <v>169</v>
      </c>
      <c r="C2" s="37"/>
      <c r="D2" s="37"/>
      <c r="E2" s="37"/>
      <c r="F2" s="37"/>
    </row>
    <row r="3" spans="2:6" ht="33" customHeight="1" x14ac:dyDescent="0.25">
      <c r="B3" s="37" t="s">
        <v>1</v>
      </c>
      <c r="C3" s="37"/>
      <c r="D3" s="37"/>
      <c r="E3" s="37"/>
      <c r="F3" s="37"/>
    </row>
    <row r="4" spans="2:6" x14ac:dyDescent="0.25">
      <c r="B4" s="16" t="s">
        <v>0</v>
      </c>
      <c r="C4" s="16"/>
      <c r="D4" s="16"/>
      <c r="E4" s="16"/>
      <c r="F4" s="16"/>
    </row>
    <row r="5" spans="2:6" x14ac:dyDescent="0.25">
      <c r="B5" s="17"/>
      <c r="C5" s="38" t="s">
        <v>25</v>
      </c>
      <c r="D5" s="38"/>
      <c r="E5" s="17">
        <v>724.3</v>
      </c>
      <c r="F5" s="17" t="s">
        <v>26</v>
      </c>
    </row>
    <row r="7" spans="2:6" ht="45" x14ac:dyDescent="0.25">
      <c r="B7" s="1" t="s">
        <v>2</v>
      </c>
      <c r="C7" s="1" t="s">
        <v>4</v>
      </c>
      <c r="D7" s="1" t="s">
        <v>3</v>
      </c>
      <c r="E7" s="1" t="s">
        <v>447</v>
      </c>
      <c r="F7" s="1" t="s">
        <v>5</v>
      </c>
    </row>
    <row r="8" spans="2:6" x14ac:dyDescent="0.25">
      <c r="B8" s="1"/>
      <c r="C8" s="1"/>
      <c r="D8" s="1"/>
      <c r="E8" s="1"/>
      <c r="F8" s="1"/>
    </row>
    <row r="9" spans="2:6" x14ac:dyDescent="0.25">
      <c r="B9" s="3" t="s">
        <v>6</v>
      </c>
      <c r="C9" s="1"/>
      <c r="D9" s="1"/>
      <c r="E9" s="1"/>
      <c r="F9" s="1"/>
    </row>
    <row r="10" spans="2:6" x14ac:dyDescent="0.25">
      <c r="B10" s="5" t="s">
        <v>7</v>
      </c>
      <c r="C10" s="1"/>
      <c r="D10" s="1"/>
      <c r="E10" s="1"/>
      <c r="F10" s="5">
        <v>2.0099999999999998</v>
      </c>
    </row>
    <row r="11" spans="2:6" x14ac:dyDescent="0.25">
      <c r="B11" s="5" t="s">
        <v>8</v>
      </c>
      <c r="C11" s="1"/>
      <c r="D11" s="1"/>
      <c r="E11" s="1"/>
      <c r="F11" s="5">
        <v>5.34</v>
      </c>
    </row>
    <row r="12" spans="2:6" ht="24.75" x14ac:dyDescent="0.25">
      <c r="B12" s="5" t="s">
        <v>11</v>
      </c>
      <c r="C12" s="1"/>
      <c r="D12" s="1"/>
      <c r="E12" s="1"/>
      <c r="F12" s="5">
        <v>0.55000000000000004</v>
      </c>
    </row>
    <row r="13" spans="2:6" ht="24.75" x14ac:dyDescent="0.25">
      <c r="B13" s="5" t="s">
        <v>12</v>
      </c>
      <c r="C13" s="1"/>
      <c r="D13" s="1"/>
      <c r="E13" s="1"/>
      <c r="F13" s="5">
        <v>0.53</v>
      </c>
    </row>
    <row r="14" spans="2:6" ht="24.75" x14ac:dyDescent="0.25">
      <c r="B14" s="5" t="s">
        <v>13</v>
      </c>
      <c r="C14" s="1"/>
      <c r="D14" s="1"/>
      <c r="E14" s="1"/>
      <c r="F14" s="5">
        <v>0.19</v>
      </c>
    </row>
    <row r="15" spans="2:6" ht="24.75" x14ac:dyDescent="0.25">
      <c r="B15" s="5" t="s">
        <v>14</v>
      </c>
      <c r="C15" s="1"/>
      <c r="D15" s="1"/>
      <c r="E15" s="1"/>
      <c r="F15" s="5">
        <v>1.25</v>
      </c>
    </row>
    <row r="16" spans="2:6" ht="24.75" x14ac:dyDescent="0.25">
      <c r="B16" s="5" t="s">
        <v>9</v>
      </c>
      <c r="C16" s="1"/>
      <c r="D16" s="1"/>
      <c r="E16" s="1"/>
      <c r="F16" s="5">
        <v>0.26</v>
      </c>
    </row>
    <row r="17" spans="2:6" ht="24.75" x14ac:dyDescent="0.25">
      <c r="B17" s="5" t="s">
        <v>15</v>
      </c>
      <c r="C17" s="1"/>
      <c r="D17" s="1"/>
      <c r="E17" s="1"/>
      <c r="F17" s="5">
        <v>0.27</v>
      </c>
    </row>
    <row r="18" spans="2:6" ht="24.75" x14ac:dyDescent="0.25">
      <c r="B18" s="5" t="s">
        <v>16</v>
      </c>
      <c r="C18" s="1"/>
      <c r="D18" s="1"/>
      <c r="E18" s="1"/>
      <c r="F18" s="5">
        <v>0.28999999999999998</v>
      </c>
    </row>
    <row r="19" spans="2:6" x14ac:dyDescent="0.25">
      <c r="B19" s="5" t="s">
        <v>17</v>
      </c>
      <c r="C19" s="1"/>
      <c r="D19" s="1"/>
      <c r="E19" s="1"/>
      <c r="F19" s="5">
        <v>0.32</v>
      </c>
    </row>
    <row r="20" spans="2:6" x14ac:dyDescent="0.25">
      <c r="B20" s="5" t="s">
        <v>18</v>
      </c>
      <c r="C20" s="1"/>
      <c r="D20" s="1"/>
      <c r="E20" s="1"/>
      <c r="F20" s="5">
        <v>1.97</v>
      </c>
    </row>
    <row r="21" spans="2:6" x14ac:dyDescent="0.25">
      <c r="B21" s="5" t="s">
        <v>19</v>
      </c>
      <c r="C21" s="1"/>
      <c r="D21" s="1"/>
      <c r="E21" s="1"/>
      <c r="F21" s="5">
        <v>3.51</v>
      </c>
    </row>
    <row r="22" spans="2:6" x14ac:dyDescent="0.25">
      <c r="B22" s="10" t="s">
        <v>20</v>
      </c>
      <c r="C22" s="1"/>
      <c r="D22" s="1"/>
      <c r="E22" s="1"/>
      <c r="F22" s="4">
        <f>SUM(F10:F21)</f>
        <v>16.489999999999998</v>
      </c>
    </row>
    <row r="23" spans="2:6" x14ac:dyDescent="0.25">
      <c r="B23" s="3" t="s">
        <v>21</v>
      </c>
      <c r="C23" s="1"/>
      <c r="D23" s="1"/>
      <c r="E23" s="1"/>
      <c r="F23" s="1"/>
    </row>
    <row r="24" spans="2:6" x14ac:dyDescent="0.25">
      <c r="B24" s="15" t="s">
        <v>252</v>
      </c>
      <c r="C24" s="1" t="s">
        <v>256</v>
      </c>
      <c r="D24" s="1">
        <v>2</v>
      </c>
      <c r="E24" s="1">
        <v>80</v>
      </c>
      <c r="F24" s="24">
        <f>E24/724.3*1000/12</f>
        <v>9.2042891987666255</v>
      </c>
    </row>
    <row r="25" spans="2:6" x14ac:dyDescent="0.25">
      <c r="B25" s="15" t="s">
        <v>309</v>
      </c>
      <c r="C25" s="1" t="s">
        <v>26</v>
      </c>
      <c r="D25" s="1">
        <v>25</v>
      </c>
      <c r="E25" s="1">
        <v>27.5</v>
      </c>
      <c r="F25" s="24">
        <f t="shared" ref="F25:F36" si="0">E25/724.3*1000/12</f>
        <v>3.163974412076028</v>
      </c>
    </row>
    <row r="26" spans="2:6" x14ac:dyDescent="0.25">
      <c r="B26" s="15" t="s">
        <v>253</v>
      </c>
      <c r="C26" s="1" t="s">
        <v>26</v>
      </c>
      <c r="D26" s="1">
        <v>60</v>
      </c>
      <c r="E26" s="1">
        <v>71.400000000000006</v>
      </c>
      <c r="F26" s="24">
        <f t="shared" si="0"/>
        <v>8.214828109899214</v>
      </c>
    </row>
    <row r="27" spans="2:6" x14ac:dyDescent="0.25">
      <c r="B27" s="15" t="s">
        <v>254</v>
      </c>
      <c r="C27" s="1" t="s">
        <v>26</v>
      </c>
      <c r="D27" s="1">
        <v>40</v>
      </c>
      <c r="E27" s="1">
        <v>20</v>
      </c>
      <c r="F27" s="24">
        <f t="shared" si="0"/>
        <v>2.3010722996916564</v>
      </c>
    </row>
    <row r="28" spans="2:6" x14ac:dyDescent="0.25">
      <c r="B28" s="15"/>
      <c r="C28" s="1"/>
      <c r="D28" s="1"/>
      <c r="E28" s="1"/>
      <c r="F28" s="24">
        <f t="shared" si="0"/>
        <v>0</v>
      </c>
    </row>
    <row r="29" spans="2:6" x14ac:dyDescent="0.25">
      <c r="B29" s="1"/>
      <c r="C29" s="1"/>
      <c r="D29" s="1"/>
      <c r="E29" s="1"/>
      <c r="F29" s="24">
        <f t="shared" si="0"/>
        <v>0</v>
      </c>
    </row>
    <row r="30" spans="2:6" x14ac:dyDescent="0.25">
      <c r="B30" s="1"/>
      <c r="C30" s="1"/>
      <c r="D30" s="1"/>
      <c r="E30" s="1"/>
      <c r="F30" s="24">
        <f t="shared" si="0"/>
        <v>0</v>
      </c>
    </row>
    <row r="31" spans="2:6" x14ac:dyDescent="0.25">
      <c r="B31" s="1"/>
      <c r="C31" s="1"/>
      <c r="D31" s="1"/>
      <c r="E31" s="1"/>
      <c r="F31" s="24">
        <f t="shared" si="0"/>
        <v>0</v>
      </c>
    </row>
    <row r="32" spans="2:6" x14ac:dyDescent="0.25">
      <c r="B32" s="1"/>
      <c r="C32" s="1"/>
      <c r="D32" s="1"/>
      <c r="E32" s="1"/>
      <c r="F32" s="24">
        <f t="shared" si="0"/>
        <v>0</v>
      </c>
    </row>
    <row r="33" spans="2:6" x14ac:dyDescent="0.25">
      <c r="B33" s="1"/>
      <c r="C33" s="1"/>
      <c r="D33" s="1"/>
      <c r="E33" s="1"/>
      <c r="F33" s="24">
        <f t="shared" si="0"/>
        <v>0</v>
      </c>
    </row>
    <row r="34" spans="2:6" x14ac:dyDescent="0.25">
      <c r="B34" s="1"/>
      <c r="C34" s="1"/>
      <c r="D34" s="1"/>
      <c r="E34" s="1"/>
      <c r="F34" s="24">
        <f t="shared" si="0"/>
        <v>0</v>
      </c>
    </row>
    <row r="35" spans="2:6" x14ac:dyDescent="0.25">
      <c r="B35" s="1"/>
      <c r="C35" s="1"/>
      <c r="D35" s="1"/>
      <c r="E35" s="1"/>
      <c r="F35" s="24">
        <f t="shared" si="0"/>
        <v>0</v>
      </c>
    </row>
    <row r="36" spans="2:6" x14ac:dyDescent="0.25">
      <c r="B36" s="1"/>
      <c r="C36" s="1"/>
      <c r="D36" s="1"/>
      <c r="E36" s="1"/>
      <c r="F36" s="24">
        <f t="shared" si="0"/>
        <v>0</v>
      </c>
    </row>
    <row r="37" spans="2:6" x14ac:dyDescent="0.25">
      <c r="B37" s="10" t="s">
        <v>20</v>
      </c>
      <c r="C37" s="1"/>
      <c r="D37" s="1"/>
      <c r="E37" s="4">
        <f>SUM(E24:E36)</f>
        <v>198.9</v>
      </c>
      <c r="F37" s="22">
        <f>SUM(F24:F36)</f>
        <v>22.884164020433527</v>
      </c>
    </row>
    <row r="38" spans="2:6" x14ac:dyDescent="0.25">
      <c r="B38" s="4" t="s">
        <v>22</v>
      </c>
      <c r="C38" s="6"/>
      <c r="D38" s="6"/>
      <c r="E38" s="6"/>
      <c r="F38" s="23">
        <f>F22+F37</f>
        <v>39.374164020433525</v>
      </c>
    </row>
    <row r="39" spans="2:6" x14ac:dyDescent="0.25">
      <c r="B39" s="7"/>
      <c r="C39" s="7"/>
      <c r="D39" s="7"/>
      <c r="E39" s="7"/>
      <c r="F39" s="7"/>
    </row>
    <row r="40" spans="2:6" x14ac:dyDescent="0.25">
      <c r="B40" s="18"/>
      <c r="C40" s="18"/>
      <c r="D40" s="18"/>
      <c r="E40" s="18"/>
      <c r="F40" s="18"/>
    </row>
    <row r="41" spans="2:6" x14ac:dyDescent="0.25">
      <c r="B41" s="18"/>
      <c r="C41" s="18"/>
      <c r="D41" s="18"/>
      <c r="E41" s="18"/>
      <c r="F41" s="18"/>
    </row>
    <row r="42" spans="2:6" x14ac:dyDescent="0.25">
      <c r="B42" s="39" t="s">
        <v>23</v>
      </c>
      <c r="C42" s="38"/>
      <c r="D42" s="38"/>
      <c r="E42" s="39" t="s">
        <v>24</v>
      </c>
      <c r="F42" s="38"/>
    </row>
    <row r="44" spans="2:6" ht="33" customHeight="1" x14ac:dyDescent="0.25">
      <c r="B44" s="37" t="s">
        <v>170</v>
      </c>
      <c r="C44" s="37"/>
      <c r="D44" s="37"/>
      <c r="E44" s="37"/>
      <c r="F44" s="37"/>
    </row>
    <row r="45" spans="2:6" ht="36.6" customHeight="1" x14ac:dyDescent="0.25">
      <c r="B45" s="37" t="s">
        <v>1</v>
      </c>
      <c r="C45" s="37"/>
      <c r="D45" s="37"/>
      <c r="E45" s="37"/>
      <c r="F45" s="37"/>
    </row>
    <row r="46" spans="2:6" x14ac:dyDescent="0.25">
      <c r="B46" s="16" t="s">
        <v>0</v>
      </c>
      <c r="C46" s="16"/>
      <c r="D46" s="16"/>
      <c r="E46" s="16"/>
      <c r="F46" s="16"/>
    </row>
    <row r="47" spans="2:6" x14ac:dyDescent="0.25">
      <c r="B47" s="17"/>
      <c r="C47" s="38" t="s">
        <v>25</v>
      </c>
      <c r="D47" s="38"/>
      <c r="E47" s="17">
        <v>728.7</v>
      </c>
      <c r="F47" s="17" t="s">
        <v>26</v>
      </c>
    </row>
    <row r="49" spans="2:6" ht="45" x14ac:dyDescent="0.25">
      <c r="B49" s="1" t="s">
        <v>2</v>
      </c>
      <c r="C49" s="1" t="s">
        <v>4</v>
      </c>
      <c r="D49" s="1" t="s">
        <v>3</v>
      </c>
      <c r="E49" s="1" t="s">
        <v>447</v>
      </c>
      <c r="F49" s="1" t="s">
        <v>5</v>
      </c>
    </row>
    <row r="50" spans="2:6" x14ac:dyDescent="0.25">
      <c r="B50" s="1"/>
      <c r="C50" s="1"/>
      <c r="D50" s="1"/>
      <c r="E50" s="1"/>
      <c r="F50" s="1"/>
    </row>
    <row r="51" spans="2:6" x14ac:dyDescent="0.25">
      <c r="B51" s="3" t="s">
        <v>6</v>
      </c>
      <c r="C51" s="1"/>
      <c r="D51" s="1"/>
      <c r="E51" s="1"/>
      <c r="F51" s="1"/>
    </row>
    <row r="52" spans="2:6" x14ac:dyDescent="0.25">
      <c r="B52" s="5" t="s">
        <v>7</v>
      </c>
      <c r="C52" s="1"/>
      <c r="D52" s="1"/>
      <c r="E52" s="1"/>
      <c r="F52" s="5">
        <v>2.0099999999999998</v>
      </c>
    </row>
    <row r="53" spans="2:6" x14ac:dyDescent="0.25">
      <c r="B53" s="5" t="s">
        <v>8</v>
      </c>
      <c r="C53" s="1"/>
      <c r="D53" s="1"/>
      <c r="E53" s="1"/>
      <c r="F53" s="5">
        <v>5.34</v>
      </c>
    </row>
    <row r="54" spans="2:6" ht="24.75" x14ac:dyDescent="0.25">
      <c r="B54" s="5" t="s">
        <v>11</v>
      </c>
      <c r="C54" s="1"/>
      <c r="D54" s="1"/>
      <c r="E54" s="1"/>
      <c r="F54" s="5">
        <v>0.55000000000000004</v>
      </c>
    </row>
    <row r="55" spans="2:6" ht="24.75" x14ac:dyDescent="0.25">
      <c r="B55" s="5" t="s">
        <v>12</v>
      </c>
      <c r="C55" s="1"/>
      <c r="D55" s="1"/>
      <c r="E55" s="1"/>
      <c r="F55" s="5">
        <v>0.53</v>
      </c>
    </row>
    <row r="56" spans="2:6" ht="24.75" x14ac:dyDescent="0.25">
      <c r="B56" s="5" t="s">
        <v>13</v>
      </c>
      <c r="C56" s="1"/>
      <c r="D56" s="1"/>
      <c r="E56" s="1"/>
      <c r="F56" s="5">
        <v>0.19</v>
      </c>
    </row>
    <row r="57" spans="2:6" ht="24.75" x14ac:dyDescent="0.25">
      <c r="B57" s="5" t="s">
        <v>14</v>
      </c>
      <c r="C57" s="1"/>
      <c r="D57" s="1"/>
      <c r="E57" s="1"/>
      <c r="F57" s="5">
        <v>1.25</v>
      </c>
    </row>
    <row r="58" spans="2:6" ht="24.75" x14ac:dyDescent="0.25">
      <c r="B58" s="5" t="s">
        <v>9</v>
      </c>
      <c r="C58" s="1"/>
      <c r="D58" s="1"/>
      <c r="E58" s="1"/>
      <c r="F58" s="5">
        <v>0.26</v>
      </c>
    </row>
    <row r="59" spans="2:6" ht="24.75" x14ac:dyDescent="0.25">
      <c r="B59" s="5" t="s">
        <v>15</v>
      </c>
      <c r="C59" s="1"/>
      <c r="D59" s="1"/>
      <c r="E59" s="1"/>
      <c r="F59" s="5">
        <v>0.27</v>
      </c>
    </row>
    <row r="60" spans="2:6" ht="24.75" x14ac:dyDescent="0.25">
      <c r="B60" s="5" t="s">
        <v>16</v>
      </c>
      <c r="C60" s="1"/>
      <c r="D60" s="1"/>
      <c r="E60" s="1"/>
      <c r="F60" s="5">
        <v>0.28999999999999998</v>
      </c>
    </row>
    <row r="61" spans="2:6" x14ac:dyDescent="0.25">
      <c r="B61" s="5" t="s">
        <v>17</v>
      </c>
      <c r="C61" s="1"/>
      <c r="D61" s="1"/>
      <c r="E61" s="1"/>
      <c r="F61" s="5">
        <v>0.32</v>
      </c>
    </row>
    <row r="62" spans="2:6" x14ac:dyDescent="0.25">
      <c r="B62" s="5" t="s">
        <v>18</v>
      </c>
      <c r="C62" s="1"/>
      <c r="D62" s="1"/>
      <c r="E62" s="1"/>
      <c r="F62" s="5">
        <v>1.97</v>
      </c>
    </row>
    <row r="63" spans="2:6" x14ac:dyDescent="0.25">
      <c r="B63" s="5" t="s">
        <v>19</v>
      </c>
      <c r="C63" s="1"/>
      <c r="D63" s="1"/>
      <c r="E63" s="1"/>
      <c r="F63" s="5">
        <v>3.51</v>
      </c>
    </row>
    <row r="64" spans="2:6" x14ac:dyDescent="0.25">
      <c r="B64" s="10" t="s">
        <v>20</v>
      </c>
      <c r="C64" s="1"/>
      <c r="D64" s="1"/>
      <c r="E64" s="1"/>
      <c r="F64" s="4">
        <f>SUM(F52:F63)</f>
        <v>16.489999999999998</v>
      </c>
    </row>
    <row r="65" spans="2:6" x14ac:dyDescent="0.25">
      <c r="B65" s="3" t="s">
        <v>21</v>
      </c>
      <c r="C65" s="1"/>
      <c r="D65" s="1"/>
      <c r="E65" s="1"/>
      <c r="F65" s="1"/>
    </row>
    <row r="66" spans="2:6" x14ac:dyDescent="0.25">
      <c r="B66" s="15" t="s">
        <v>253</v>
      </c>
      <c r="C66" s="1" t="s">
        <v>26</v>
      </c>
      <c r="D66" s="1">
        <v>102</v>
      </c>
      <c r="E66" s="1">
        <v>71.400000000000006</v>
      </c>
      <c r="F66" s="24">
        <f>E66/728.7*1000/12</f>
        <v>8.165225744476464</v>
      </c>
    </row>
    <row r="67" spans="2:6" x14ac:dyDescent="0.25">
      <c r="B67" s="15" t="s">
        <v>254</v>
      </c>
      <c r="C67" s="1" t="s">
        <v>26</v>
      </c>
      <c r="D67" s="1">
        <v>60</v>
      </c>
      <c r="E67" s="1">
        <v>36</v>
      </c>
      <c r="F67" s="24">
        <f t="shared" ref="F67:F78" si="1">E67/728.7*1000/12</f>
        <v>4.116920543433511</v>
      </c>
    </row>
    <row r="68" spans="2:6" x14ac:dyDescent="0.25">
      <c r="B68" s="15" t="s">
        <v>257</v>
      </c>
      <c r="C68" s="1" t="s">
        <v>26</v>
      </c>
      <c r="D68" s="1">
        <v>593</v>
      </c>
      <c r="E68" s="1">
        <v>711.6</v>
      </c>
      <c r="F68" s="24">
        <f t="shared" si="1"/>
        <v>81.377796075202411</v>
      </c>
    </row>
    <row r="69" spans="2:6" x14ac:dyDescent="0.25">
      <c r="B69" s="26" t="s">
        <v>316</v>
      </c>
      <c r="C69" s="1" t="s">
        <v>261</v>
      </c>
      <c r="D69" s="1">
        <v>18</v>
      </c>
      <c r="E69" s="1">
        <v>22</v>
      </c>
      <c r="F69" s="24">
        <f t="shared" si="1"/>
        <v>2.5158958876538127</v>
      </c>
    </row>
    <row r="70" spans="2:6" x14ac:dyDescent="0.25">
      <c r="B70" s="1"/>
      <c r="C70" s="1"/>
      <c r="D70" s="1"/>
      <c r="E70" s="1"/>
      <c r="F70" s="24">
        <f t="shared" si="1"/>
        <v>0</v>
      </c>
    </row>
    <row r="71" spans="2:6" x14ac:dyDescent="0.25">
      <c r="B71" s="1"/>
      <c r="C71" s="1"/>
      <c r="D71" s="1"/>
      <c r="E71" s="1"/>
      <c r="F71" s="24">
        <f t="shared" si="1"/>
        <v>0</v>
      </c>
    </row>
    <row r="72" spans="2:6" x14ac:dyDescent="0.25">
      <c r="B72" s="1"/>
      <c r="C72" s="1"/>
      <c r="D72" s="1"/>
      <c r="E72" s="1"/>
      <c r="F72" s="24">
        <f t="shared" si="1"/>
        <v>0</v>
      </c>
    </row>
    <row r="73" spans="2:6" x14ac:dyDescent="0.25">
      <c r="B73" s="1"/>
      <c r="C73" s="1"/>
      <c r="D73" s="1"/>
      <c r="E73" s="1"/>
      <c r="F73" s="24">
        <f t="shared" si="1"/>
        <v>0</v>
      </c>
    </row>
    <row r="74" spans="2:6" x14ac:dyDescent="0.25">
      <c r="B74" s="1"/>
      <c r="C74" s="1"/>
      <c r="D74" s="1"/>
      <c r="E74" s="1"/>
      <c r="F74" s="24">
        <f t="shared" si="1"/>
        <v>0</v>
      </c>
    </row>
    <row r="75" spans="2:6" x14ac:dyDescent="0.25">
      <c r="B75" s="1"/>
      <c r="C75" s="1"/>
      <c r="D75" s="1"/>
      <c r="E75" s="1"/>
      <c r="F75" s="24">
        <f t="shared" si="1"/>
        <v>0</v>
      </c>
    </row>
    <row r="76" spans="2:6" x14ac:dyDescent="0.25">
      <c r="B76" s="1"/>
      <c r="C76" s="1"/>
      <c r="D76" s="1"/>
      <c r="E76" s="1"/>
      <c r="F76" s="24">
        <f t="shared" si="1"/>
        <v>0</v>
      </c>
    </row>
    <row r="77" spans="2:6" x14ac:dyDescent="0.25">
      <c r="B77" s="1"/>
      <c r="C77" s="1"/>
      <c r="D77" s="1"/>
      <c r="E77" s="1"/>
      <c r="F77" s="24">
        <f t="shared" si="1"/>
        <v>0</v>
      </c>
    </row>
    <row r="78" spans="2:6" x14ac:dyDescent="0.25">
      <c r="B78" s="1"/>
      <c r="C78" s="1"/>
      <c r="D78" s="1"/>
      <c r="E78" s="1"/>
      <c r="F78" s="24">
        <f t="shared" si="1"/>
        <v>0</v>
      </c>
    </row>
    <row r="79" spans="2:6" x14ac:dyDescent="0.25">
      <c r="B79" s="10" t="s">
        <v>20</v>
      </c>
      <c r="C79" s="1"/>
      <c r="D79" s="1"/>
      <c r="E79" s="4">
        <f>SUM(E66:E78)</f>
        <v>841</v>
      </c>
      <c r="F79" s="22">
        <f>SUM(F66:F78)</f>
        <v>96.175838250766191</v>
      </c>
    </row>
    <row r="80" spans="2:6" x14ac:dyDescent="0.25">
      <c r="B80" s="4" t="s">
        <v>22</v>
      </c>
      <c r="C80" s="6"/>
      <c r="D80" s="6"/>
      <c r="E80" s="6"/>
      <c r="F80" s="23">
        <f>F64+F79</f>
        <v>112.66583825076619</v>
      </c>
    </row>
    <row r="81" spans="2:6" x14ac:dyDescent="0.25">
      <c r="B81" s="7"/>
      <c r="C81" s="7"/>
      <c r="D81" s="7"/>
      <c r="E81" s="7"/>
      <c r="F81" s="7"/>
    </row>
    <row r="82" spans="2:6" x14ac:dyDescent="0.25">
      <c r="B82" s="18"/>
      <c r="C82" s="18"/>
      <c r="D82" s="18"/>
      <c r="E82" s="18"/>
      <c r="F82" s="18"/>
    </row>
    <row r="83" spans="2:6" x14ac:dyDescent="0.25">
      <c r="B83" s="18"/>
      <c r="C83" s="18"/>
      <c r="D83" s="18"/>
      <c r="E83" s="18"/>
      <c r="F83" s="18"/>
    </row>
    <row r="84" spans="2:6" x14ac:dyDescent="0.25">
      <c r="B84" s="39" t="s">
        <v>23</v>
      </c>
      <c r="C84" s="38"/>
      <c r="D84" s="38"/>
      <c r="E84" s="39" t="s">
        <v>24</v>
      </c>
      <c r="F84" s="38"/>
    </row>
    <row r="86" spans="2:6" ht="34.15" customHeight="1" x14ac:dyDescent="0.25">
      <c r="B86" s="37" t="s">
        <v>171</v>
      </c>
      <c r="C86" s="37"/>
      <c r="D86" s="37"/>
      <c r="E86" s="37"/>
      <c r="F86" s="37"/>
    </row>
    <row r="87" spans="2:6" ht="30" customHeight="1" x14ac:dyDescent="0.25">
      <c r="B87" s="37" t="s">
        <v>1</v>
      </c>
      <c r="C87" s="37"/>
      <c r="D87" s="37"/>
      <c r="E87" s="37"/>
      <c r="F87" s="37"/>
    </row>
    <row r="88" spans="2:6" x14ac:dyDescent="0.25">
      <c r="B88" s="16" t="s">
        <v>0</v>
      </c>
      <c r="C88" s="16"/>
      <c r="D88" s="16"/>
      <c r="E88" s="16"/>
      <c r="F88" s="16"/>
    </row>
    <row r="89" spans="2:6" x14ac:dyDescent="0.25">
      <c r="B89" s="17"/>
      <c r="C89" s="38" t="s">
        <v>25</v>
      </c>
      <c r="D89" s="38"/>
      <c r="E89" s="17">
        <v>720.8</v>
      </c>
      <c r="F89" s="17" t="s">
        <v>26</v>
      </c>
    </row>
    <row r="91" spans="2:6" ht="45" x14ac:dyDescent="0.25">
      <c r="B91" s="1" t="s">
        <v>2</v>
      </c>
      <c r="C91" s="1" t="s">
        <v>4</v>
      </c>
      <c r="D91" s="1" t="s">
        <v>3</v>
      </c>
      <c r="E91" s="1" t="s">
        <v>447</v>
      </c>
      <c r="F91" s="1" t="s">
        <v>5</v>
      </c>
    </row>
    <row r="92" spans="2:6" x14ac:dyDescent="0.25">
      <c r="B92" s="1"/>
      <c r="C92" s="1"/>
      <c r="D92" s="1"/>
      <c r="E92" s="1"/>
      <c r="F92" s="1"/>
    </row>
    <row r="93" spans="2:6" x14ac:dyDescent="0.25">
      <c r="B93" s="3" t="s">
        <v>6</v>
      </c>
      <c r="C93" s="1"/>
      <c r="D93" s="1"/>
      <c r="E93" s="1"/>
      <c r="F93" s="1"/>
    </row>
    <row r="94" spans="2:6" x14ac:dyDescent="0.25">
      <c r="B94" s="5" t="s">
        <v>7</v>
      </c>
      <c r="C94" s="1"/>
      <c r="D94" s="1"/>
      <c r="E94" s="1"/>
      <c r="F94" s="5">
        <v>2.0099999999999998</v>
      </c>
    </row>
    <row r="95" spans="2:6" x14ac:dyDescent="0.25">
      <c r="B95" s="5" t="s">
        <v>8</v>
      </c>
      <c r="C95" s="1"/>
      <c r="D95" s="1"/>
      <c r="E95" s="1"/>
      <c r="F95" s="5">
        <v>5.34</v>
      </c>
    </row>
    <row r="96" spans="2:6" x14ac:dyDescent="0.25">
      <c r="B96" s="15" t="s">
        <v>30</v>
      </c>
      <c r="C96" s="1"/>
      <c r="D96" s="1"/>
      <c r="E96" s="1"/>
      <c r="F96" s="5">
        <v>0.06</v>
      </c>
    </row>
    <row r="97" spans="2:6" ht="24.75" x14ac:dyDescent="0.25">
      <c r="B97" s="5" t="s">
        <v>11</v>
      </c>
      <c r="C97" s="1"/>
      <c r="D97" s="1"/>
      <c r="E97" s="1"/>
      <c r="F97" s="5">
        <v>0.55000000000000004</v>
      </c>
    </row>
    <row r="98" spans="2:6" ht="24.75" x14ac:dyDescent="0.25">
      <c r="B98" s="5" t="s">
        <v>12</v>
      </c>
      <c r="C98" s="1"/>
      <c r="D98" s="1"/>
      <c r="E98" s="1"/>
      <c r="F98" s="5">
        <v>0.53</v>
      </c>
    </row>
    <row r="99" spans="2:6" ht="24.75" x14ac:dyDescent="0.25">
      <c r="B99" s="5" t="s">
        <v>13</v>
      </c>
      <c r="C99" s="1"/>
      <c r="D99" s="1"/>
      <c r="E99" s="1"/>
      <c r="F99" s="5">
        <v>0.19</v>
      </c>
    </row>
    <row r="100" spans="2:6" ht="24.75" x14ac:dyDescent="0.25">
      <c r="B100" s="5" t="s">
        <v>14</v>
      </c>
      <c r="C100" s="1"/>
      <c r="D100" s="1"/>
      <c r="E100" s="1"/>
      <c r="F100" s="5">
        <v>1.25</v>
      </c>
    </row>
    <row r="101" spans="2:6" ht="24.75" x14ac:dyDescent="0.25">
      <c r="B101" s="5" t="s">
        <v>9</v>
      </c>
      <c r="C101" s="1"/>
      <c r="D101" s="1"/>
      <c r="E101" s="1"/>
      <c r="F101" s="5">
        <v>0.26</v>
      </c>
    </row>
    <row r="102" spans="2:6" ht="24.75" x14ac:dyDescent="0.25">
      <c r="B102" s="5" t="s">
        <v>15</v>
      </c>
      <c r="C102" s="1"/>
      <c r="D102" s="1"/>
      <c r="E102" s="1"/>
      <c r="F102" s="5">
        <v>0.27</v>
      </c>
    </row>
    <row r="103" spans="2:6" ht="24.75" x14ac:dyDescent="0.25">
      <c r="B103" s="5" t="s">
        <v>16</v>
      </c>
      <c r="C103" s="1"/>
      <c r="D103" s="1"/>
      <c r="E103" s="1"/>
      <c r="F103" s="5">
        <v>0.28999999999999998</v>
      </c>
    </row>
    <row r="104" spans="2:6" x14ac:dyDescent="0.25">
      <c r="B104" s="5" t="s">
        <v>17</v>
      </c>
      <c r="C104" s="1"/>
      <c r="D104" s="1"/>
      <c r="E104" s="1"/>
      <c r="F104" s="5">
        <v>0.32</v>
      </c>
    </row>
    <row r="105" spans="2:6" x14ac:dyDescent="0.25">
      <c r="B105" s="5" t="s">
        <v>18</v>
      </c>
      <c r="C105" s="1"/>
      <c r="D105" s="1"/>
      <c r="E105" s="1"/>
      <c r="F105" s="5">
        <v>1.97</v>
      </c>
    </row>
    <row r="106" spans="2:6" x14ac:dyDescent="0.25">
      <c r="B106" s="5" t="s">
        <v>19</v>
      </c>
      <c r="C106" s="1"/>
      <c r="D106" s="1"/>
      <c r="E106" s="1"/>
      <c r="F106" s="5">
        <v>3.51</v>
      </c>
    </row>
    <row r="107" spans="2:6" x14ac:dyDescent="0.25">
      <c r="B107" s="10" t="s">
        <v>20</v>
      </c>
      <c r="C107" s="1"/>
      <c r="D107" s="1"/>
      <c r="E107" s="1"/>
      <c r="F107" s="4">
        <f>SUM(F94:F106)</f>
        <v>16.549999999999997</v>
      </c>
    </row>
    <row r="108" spans="2:6" x14ac:dyDescent="0.25">
      <c r="B108" s="3" t="s">
        <v>21</v>
      </c>
      <c r="C108" s="1"/>
      <c r="D108" s="1"/>
      <c r="E108" s="1"/>
      <c r="F108" s="1"/>
    </row>
    <row r="109" spans="2:6" x14ac:dyDescent="0.25">
      <c r="B109" s="15" t="s">
        <v>252</v>
      </c>
      <c r="C109" s="1" t="s">
        <v>256</v>
      </c>
      <c r="D109" s="1">
        <v>1</v>
      </c>
      <c r="E109" s="1">
        <v>40</v>
      </c>
      <c r="F109" s="24">
        <f>E109/720.8*1000/12</f>
        <v>4.6244913059563446</v>
      </c>
    </row>
    <row r="110" spans="2:6" x14ac:dyDescent="0.25">
      <c r="B110" s="15" t="s">
        <v>253</v>
      </c>
      <c r="C110" s="1" t="s">
        <v>26</v>
      </c>
      <c r="D110" s="1">
        <v>80</v>
      </c>
      <c r="E110" s="1">
        <v>56</v>
      </c>
      <c r="F110" s="24">
        <f t="shared" ref="F110:F121" si="2">E110/720.8*1000/12</f>
        <v>6.4742878283388832</v>
      </c>
    </row>
    <row r="111" spans="2:6" x14ac:dyDescent="0.25">
      <c r="B111" s="15" t="s">
        <v>254</v>
      </c>
      <c r="C111" s="1" t="s">
        <v>26</v>
      </c>
      <c r="D111" s="1">
        <v>90</v>
      </c>
      <c r="E111" s="1">
        <v>54</v>
      </c>
      <c r="F111" s="24">
        <f t="shared" si="2"/>
        <v>6.2430632630410656</v>
      </c>
    </row>
    <row r="112" spans="2:6" x14ac:dyDescent="0.25">
      <c r="B112" s="15" t="s">
        <v>258</v>
      </c>
      <c r="C112" s="1" t="s">
        <v>261</v>
      </c>
      <c r="D112" s="1">
        <v>12</v>
      </c>
      <c r="E112" s="1">
        <v>15.6</v>
      </c>
      <c r="F112" s="24">
        <f t="shared" si="2"/>
        <v>1.8035516093229746</v>
      </c>
    </row>
    <row r="113" spans="2:6" x14ac:dyDescent="0.25">
      <c r="B113" s="15" t="s">
        <v>259</v>
      </c>
      <c r="C113" s="1" t="s">
        <v>26</v>
      </c>
      <c r="D113" s="1">
        <v>2.5</v>
      </c>
      <c r="E113" s="1">
        <v>5</v>
      </c>
      <c r="F113" s="24">
        <f t="shared" si="2"/>
        <v>0.57806141324454308</v>
      </c>
    </row>
    <row r="114" spans="2:6" x14ac:dyDescent="0.25">
      <c r="B114" s="15" t="s">
        <v>260</v>
      </c>
      <c r="C114" s="1" t="s">
        <v>256</v>
      </c>
      <c r="D114" s="1">
        <v>1</v>
      </c>
      <c r="E114" s="1">
        <v>45</v>
      </c>
      <c r="F114" s="24">
        <f t="shared" si="2"/>
        <v>5.2025527192008889</v>
      </c>
    </row>
    <row r="115" spans="2:6" x14ac:dyDescent="0.25">
      <c r="B115" s="1"/>
      <c r="C115" s="1"/>
      <c r="D115" s="1"/>
      <c r="E115" s="1"/>
      <c r="F115" s="24">
        <f t="shared" si="2"/>
        <v>0</v>
      </c>
    </row>
    <row r="116" spans="2:6" x14ac:dyDescent="0.25">
      <c r="B116" s="1"/>
      <c r="C116" s="1"/>
      <c r="D116" s="1"/>
      <c r="E116" s="1"/>
      <c r="F116" s="24">
        <f t="shared" si="2"/>
        <v>0</v>
      </c>
    </row>
    <row r="117" spans="2:6" x14ac:dyDescent="0.25">
      <c r="B117" s="1"/>
      <c r="C117" s="1"/>
      <c r="D117" s="1"/>
      <c r="E117" s="1"/>
      <c r="F117" s="24">
        <f t="shared" si="2"/>
        <v>0</v>
      </c>
    </row>
    <row r="118" spans="2:6" x14ac:dyDescent="0.25">
      <c r="B118" s="1"/>
      <c r="C118" s="1"/>
      <c r="D118" s="1"/>
      <c r="E118" s="1"/>
      <c r="F118" s="24">
        <f t="shared" si="2"/>
        <v>0</v>
      </c>
    </row>
    <row r="119" spans="2:6" x14ac:dyDescent="0.25">
      <c r="B119" s="1"/>
      <c r="C119" s="1"/>
      <c r="D119" s="1"/>
      <c r="E119" s="1"/>
      <c r="F119" s="24">
        <f t="shared" si="2"/>
        <v>0</v>
      </c>
    </row>
    <row r="120" spans="2:6" x14ac:dyDescent="0.25">
      <c r="B120" s="1"/>
      <c r="C120" s="1"/>
      <c r="D120" s="1"/>
      <c r="E120" s="1"/>
      <c r="F120" s="24">
        <f t="shared" si="2"/>
        <v>0</v>
      </c>
    </row>
    <row r="121" spans="2:6" x14ac:dyDescent="0.25">
      <c r="B121" s="10" t="s">
        <v>20</v>
      </c>
      <c r="C121" s="1"/>
      <c r="D121" s="1"/>
      <c r="E121" s="4">
        <f>SUM(E109:E120)</f>
        <v>215.6</v>
      </c>
      <c r="F121" s="24">
        <f t="shared" si="2"/>
        <v>24.926008139104699</v>
      </c>
    </row>
    <row r="122" spans="2:6" x14ac:dyDescent="0.25">
      <c r="B122" s="4" t="s">
        <v>22</v>
      </c>
      <c r="C122" s="6"/>
      <c r="D122" s="6"/>
      <c r="E122" s="6"/>
      <c r="F122" s="23">
        <f>F107+F121</f>
        <v>41.476008139104692</v>
      </c>
    </row>
    <row r="123" spans="2:6" x14ac:dyDescent="0.25">
      <c r="B123" s="7"/>
      <c r="C123" s="7"/>
      <c r="D123" s="7"/>
      <c r="E123" s="7"/>
      <c r="F123" s="7"/>
    </row>
    <row r="124" spans="2:6" x14ac:dyDescent="0.25">
      <c r="B124" s="18"/>
      <c r="C124" s="18"/>
      <c r="D124" s="18"/>
      <c r="E124" s="18"/>
      <c r="F124" s="18"/>
    </row>
    <row r="125" spans="2:6" x14ac:dyDescent="0.25">
      <c r="B125" s="18"/>
      <c r="C125" s="18"/>
      <c r="D125" s="18"/>
      <c r="E125" s="18"/>
      <c r="F125" s="18"/>
    </row>
    <row r="126" spans="2:6" x14ac:dyDescent="0.25">
      <c r="B126" s="39" t="s">
        <v>23</v>
      </c>
      <c r="C126" s="38"/>
      <c r="D126" s="38"/>
      <c r="E126" s="39" t="s">
        <v>24</v>
      </c>
      <c r="F126" s="38"/>
    </row>
    <row r="128" spans="2:6" ht="29.45" customHeight="1" x14ac:dyDescent="0.25">
      <c r="B128" s="37" t="s">
        <v>172</v>
      </c>
      <c r="C128" s="37"/>
      <c r="D128" s="37"/>
      <c r="E128" s="37"/>
      <c r="F128" s="37"/>
    </row>
    <row r="129" spans="2:6" ht="28.15" customHeight="1" x14ac:dyDescent="0.25">
      <c r="B129" s="37" t="s">
        <v>1</v>
      </c>
      <c r="C129" s="37"/>
      <c r="D129" s="37"/>
      <c r="E129" s="37"/>
      <c r="F129" s="37"/>
    </row>
    <row r="130" spans="2:6" x14ac:dyDescent="0.25">
      <c r="B130" s="16" t="s">
        <v>0</v>
      </c>
      <c r="C130" s="16"/>
      <c r="D130" s="16"/>
      <c r="E130" s="16"/>
      <c r="F130" s="16"/>
    </row>
    <row r="131" spans="2:6" x14ac:dyDescent="0.25">
      <c r="B131" s="17"/>
      <c r="C131" s="38" t="s">
        <v>25</v>
      </c>
      <c r="D131" s="38"/>
      <c r="E131" s="17">
        <v>941.8</v>
      </c>
      <c r="F131" s="17" t="s">
        <v>26</v>
      </c>
    </row>
    <row r="133" spans="2:6" ht="45" x14ac:dyDescent="0.25">
      <c r="B133" s="1" t="s">
        <v>2</v>
      </c>
      <c r="C133" s="1" t="s">
        <v>4</v>
      </c>
      <c r="D133" s="1" t="s">
        <v>3</v>
      </c>
      <c r="E133" s="1" t="s">
        <v>447</v>
      </c>
      <c r="F133" s="1" t="s">
        <v>5</v>
      </c>
    </row>
    <row r="134" spans="2:6" x14ac:dyDescent="0.25">
      <c r="B134" s="1"/>
      <c r="C134" s="1"/>
      <c r="D134" s="1"/>
      <c r="E134" s="1"/>
      <c r="F134" s="1"/>
    </row>
    <row r="135" spans="2:6" x14ac:dyDescent="0.25">
      <c r="B135" s="3" t="s">
        <v>6</v>
      </c>
      <c r="C135" s="1"/>
      <c r="D135" s="1"/>
      <c r="E135" s="1"/>
      <c r="F135" s="1"/>
    </row>
    <row r="136" spans="2:6" x14ac:dyDescent="0.25">
      <c r="B136" s="5" t="s">
        <v>7</v>
      </c>
      <c r="C136" s="1"/>
      <c r="D136" s="1"/>
      <c r="E136" s="1"/>
      <c r="F136" s="5">
        <v>2.0099999999999998</v>
      </c>
    </row>
    <row r="137" spans="2:6" x14ac:dyDescent="0.25">
      <c r="B137" s="5" t="s">
        <v>8</v>
      </c>
      <c r="C137" s="1"/>
      <c r="D137" s="1"/>
      <c r="E137" s="1"/>
      <c r="F137" s="5">
        <v>5.34</v>
      </c>
    </row>
    <row r="138" spans="2:6" ht="24.75" x14ac:dyDescent="0.25">
      <c r="B138" s="5" t="s">
        <v>11</v>
      </c>
      <c r="C138" s="1"/>
      <c r="D138" s="1"/>
      <c r="E138" s="1"/>
      <c r="F138" s="5">
        <v>0.55000000000000004</v>
      </c>
    </row>
    <row r="139" spans="2:6" ht="24.75" x14ac:dyDescent="0.25">
      <c r="B139" s="5" t="s">
        <v>12</v>
      </c>
      <c r="C139" s="1"/>
      <c r="D139" s="1"/>
      <c r="E139" s="1"/>
      <c r="F139" s="5">
        <v>0.53</v>
      </c>
    </row>
    <row r="140" spans="2:6" ht="24.75" x14ac:dyDescent="0.25">
      <c r="B140" s="5" t="s">
        <v>13</v>
      </c>
      <c r="C140" s="1"/>
      <c r="D140" s="1"/>
      <c r="E140" s="1"/>
      <c r="F140" s="5">
        <v>0.19</v>
      </c>
    </row>
    <row r="141" spans="2:6" ht="24.75" x14ac:dyDescent="0.25">
      <c r="B141" s="5" t="s">
        <v>14</v>
      </c>
      <c r="C141" s="1"/>
      <c r="D141" s="1"/>
      <c r="E141" s="1"/>
      <c r="F141" s="5">
        <v>1.25</v>
      </c>
    </row>
    <row r="142" spans="2:6" ht="24.75" x14ac:dyDescent="0.25">
      <c r="B142" s="5" t="s">
        <v>9</v>
      </c>
      <c r="C142" s="1"/>
      <c r="D142" s="1"/>
      <c r="E142" s="1"/>
      <c r="F142" s="5">
        <v>0.26</v>
      </c>
    </row>
    <row r="143" spans="2:6" ht="24.75" x14ac:dyDescent="0.25">
      <c r="B143" s="5" t="s">
        <v>15</v>
      </c>
      <c r="C143" s="1"/>
      <c r="D143" s="1"/>
      <c r="E143" s="1"/>
      <c r="F143" s="5">
        <v>0.27</v>
      </c>
    </row>
    <row r="144" spans="2:6" ht="24.75" x14ac:dyDescent="0.25">
      <c r="B144" s="5" t="s">
        <v>16</v>
      </c>
      <c r="C144" s="1"/>
      <c r="D144" s="1"/>
      <c r="E144" s="1"/>
      <c r="F144" s="5">
        <v>0.28999999999999998</v>
      </c>
    </row>
    <row r="145" spans="2:6" x14ac:dyDescent="0.25">
      <c r="B145" s="5" t="s">
        <v>17</v>
      </c>
      <c r="C145" s="1"/>
      <c r="D145" s="1"/>
      <c r="E145" s="1"/>
      <c r="F145" s="5">
        <v>0.32</v>
      </c>
    </row>
    <row r="146" spans="2:6" x14ac:dyDescent="0.25">
      <c r="B146" s="5" t="s">
        <v>18</v>
      </c>
      <c r="C146" s="1"/>
      <c r="D146" s="1"/>
      <c r="E146" s="1"/>
      <c r="F146" s="5">
        <v>1.97</v>
      </c>
    </row>
    <row r="147" spans="2:6" x14ac:dyDescent="0.25">
      <c r="B147" s="5" t="s">
        <v>19</v>
      </c>
      <c r="C147" s="1"/>
      <c r="D147" s="1"/>
      <c r="E147" s="1"/>
      <c r="F147" s="5">
        <v>3.51</v>
      </c>
    </row>
    <row r="148" spans="2:6" x14ac:dyDescent="0.25">
      <c r="B148" s="10" t="s">
        <v>20</v>
      </c>
      <c r="C148" s="1"/>
      <c r="D148" s="1"/>
      <c r="E148" s="1"/>
      <c r="F148" s="4">
        <f>SUM(F136:F147)</f>
        <v>16.489999999999998</v>
      </c>
    </row>
    <row r="149" spans="2:6" x14ac:dyDescent="0.25">
      <c r="B149" s="3" t="s">
        <v>21</v>
      </c>
      <c r="C149" s="1"/>
      <c r="D149" s="1"/>
      <c r="E149" s="1"/>
      <c r="F149" s="1"/>
    </row>
    <row r="150" spans="2:6" x14ac:dyDescent="0.25">
      <c r="B150" s="15" t="s">
        <v>252</v>
      </c>
      <c r="C150" s="1" t="s">
        <v>256</v>
      </c>
      <c r="D150" s="1">
        <v>1</v>
      </c>
      <c r="E150" s="1">
        <v>40</v>
      </c>
      <c r="F150" s="24">
        <f>E150/941.8*1000/12</f>
        <v>3.5393218659304879</v>
      </c>
    </row>
    <row r="151" spans="2:6" x14ac:dyDescent="0.25">
      <c r="B151" s="15" t="s">
        <v>253</v>
      </c>
      <c r="C151" s="1" t="s">
        <v>26</v>
      </c>
      <c r="D151" s="1">
        <v>120</v>
      </c>
      <c r="E151" s="1">
        <v>84</v>
      </c>
      <c r="F151" s="24">
        <f t="shared" ref="F151:F162" si="3">E151/941.8*1000/12</f>
        <v>7.4325759184540248</v>
      </c>
    </row>
    <row r="152" spans="2:6" x14ac:dyDescent="0.25">
      <c r="B152" s="15" t="s">
        <v>254</v>
      </c>
      <c r="C152" s="1" t="s">
        <v>26</v>
      </c>
      <c r="D152" s="1">
        <v>60</v>
      </c>
      <c r="E152" s="1">
        <v>40</v>
      </c>
      <c r="F152" s="24">
        <f t="shared" si="3"/>
        <v>3.5393218659304879</v>
      </c>
    </row>
    <row r="153" spans="2:6" x14ac:dyDescent="0.25">
      <c r="B153" s="1"/>
      <c r="C153" s="1"/>
      <c r="D153" s="1"/>
      <c r="E153" s="1"/>
      <c r="F153" s="24">
        <f t="shared" si="3"/>
        <v>0</v>
      </c>
    </row>
    <row r="154" spans="2:6" x14ac:dyDescent="0.25">
      <c r="B154" s="1"/>
      <c r="C154" s="1"/>
      <c r="D154" s="1"/>
      <c r="E154" s="1"/>
      <c r="F154" s="24">
        <f t="shared" si="3"/>
        <v>0</v>
      </c>
    </row>
    <row r="155" spans="2:6" x14ac:dyDescent="0.25">
      <c r="B155" s="1"/>
      <c r="C155" s="1"/>
      <c r="D155" s="1"/>
      <c r="E155" s="1"/>
      <c r="F155" s="24">
        <f t="shared" si="3"/>
        <v>0</v>
      </c>
    </row>
    <row r="156" spans="2:6" x14ac:dyDescent="0.25">
      <c r="B156" s="1"/>
      <c r="C156" s="1"/>
      <c r="D156" s="1"/>
      <c r="E156" s="1"/>
      <c r="F156" s="24">
        <f t="shared" si="3"/>
        <v>0</v>
      </c>
    </row>
    <row r="157" spans="2:6" x14ac:dyDescent="0.25">
      <c r="B157" s="1"/>
      <c r="C157" s="1"/>
      <c r="D157" s="1"/>
      <c r="E157" s="1"/>
      <c r="F157" s="24">
        <f t="shared" si="3"/>
        <v>0</v>
      </c>
    </row>
    <row r="158" spans="2:6" x14ac:dyDescent="0.25">
      <c r="B158" s="1"/>
      <c r="C158" s="1"/>
      <c r="D158" s="1"/>
      <c r="E158" s="1"/>
      <c r="F158" s="24">
        <f t="shared" si="3"/>
        <v>0</v>
      </c>
    </row>
    <row r="159" spans="2:6" x14ac:dyDescent="0.25">
      <c r="B159" s="1"/>
      <c r="C159" s="1"/>
      <c r="D159" s="1"/>
      <c r="E159" s="1"/>
      <c r="F159" s="24">
        <f t="shared" si="3"/>
        <v>0</v>
      </c>
    </row>
    <row r="160" spans="2:6" x14ac:dyDescent="0.25">
      <c r="B160" s="1"/>
      <c r="C160" s="1"/>
      <c r="D160" s="1"/>
      <c r="E160" s="1"/>
      <c r="F160" s="24">
        <f t="shared" si="3"/>
        <v>0</v>
      </c>
    </row>
    <row r="161" spans="2:6" x14ac:dyDescent="0.25">
      <c r="B161" s="1"/>
      <c r="C161" s="1"/>
      <c r="D161" s="1"/>
      <c r="E161" s="1"/>
      <c r="F161" s="24">
        <f t="shared" si="3"/>
        <v>0</v>
      </c>
    </row>
    <row r="162" spans="2:6" x14ac:dyDescent="0.25">
      <c r="B162" s="10" t="s">
        <v>20</v>
      </c>
      <c r="C162" s="1"/>
      <c r="D162" s="1"/>
      <c r="E162" s="4">
        <f>SUM(E150:E161)</f>
        <v>164</v>
      </c>
      <c r="F162" s="24">
        <f t="shared" si="3"/>
        <v>14.511219650314999</v>
      </c>
    </row>
    <row r="163" spans="2:6" x14ac:dyDescent="0.25">
      <c r="B163" s="4" t="s">
        <v>22</v>
      </c>
      <c r="C163" s="6"/>
      <c r="D163" s="6"/>
      <c r="E163" s="6"/>
      <c r="F163" s="25">
        <f>F148+F162</f>
        <v>31.001219650314997</v>
      </c>
    </row>
    <row r="164" spans="2:6" x14ac:dyDescent="0.25">
      <c r="B164" s="7"/>
      <c r="C164" s="7"/>
      <c r="D164" s="7"/>
      <c r="E164" s="7"/>
      <c r="F164" s="7"/>
    </row>
    <row r="165" spans="2:6" x14ac:dyDescent="0.25">
      <c r="B165" s="18"/>
      <c r="C165" s="18"/>
      <c r="D165" s="18"/>
      <c r="E165" s="18"/>
      <c r="F165" s="18"/>
    </row>
    <row r="166" spans="2:6" x14ac:dyDescent="0.25">
      <c r="B166" s="18"/>
      <c r="C166" s="18"/>
      <c r="D166" s="18"/>
      <c r="E166" s="18"/>
      <c r="F166" s="18"/>
    </row>
    <row r="167" spans="2:6" x14ac:dyDescent="0.25">
      <c r="B167" s="39" t="s">
        <v>23</v>
      </c>
      <c r="C167" s="38"/>
      <c r="D167" s="38"/>
      <c r="E167" s="39" t="s">
        <v>24</v>
      </c>
      <c r="F167" s="38"/>
    </row>
    <row r="171" spans="2:6" ht="39" customHeight="1" x14ac:dyDescent="0.25">
      <c r="B171" s="37" t="s">
        <v>173</v>
      </c>
      <c r="C171" s="37"/>
      <c r="D171" s="37"/>
      <c r="E171" s="37"/>
      <c r="F171" s="37"/>
    </row>
    <row r="172" spans="2:6" ht="30.6" customHeight="1" x14ac:dyDescent="0.25">
      <c r="B172" s="37" t="s">
        <v>1</v>
      </c>
      <c r="C172" s="37"/>
      <c r="D172" s="37"/>
      <c r="E172" s="37"/>
      <c r="F172" s="37"/>
    </row>
    <row r="173" spans="2:6" x14ac:dyDescent="0.25">
      <c r="B173" s="16" t="s">
        <v>0</v>
      </c>
      <c r="C173" s="16"/>
      <c r="D173" s="16"/>
      <c r="E173" s="16"/>
      <c r="F173" s="16"/>
    </row>
    <row r="174" spans="2:6" x14ac:dyDescent="0.25">
      <c r="B174" s="17"/>
      <c r="C174" s="38" t="s">
        <v>25</v>
      </c>
      <c r="D174" s="38"/>
      <c r="E174" s="17">
        <v>937</v>
      </c>
      <c r="F174" s="17" t="s">
        <v>26</v>
      </c>
    </row>
    <row r="176" spans="2:6" ht="45" x14ac:dyDescent="0.25">
      <c r="B176" s="1" t="s">
        <v>2</v>
      </c>
      <c r="C176" s="1" t="s">
        <v>4</v>
      </c>
      <c r="D176" s="1" t="s">
        <v>3</v>
      </c>
      <c r="E176" s="1" t="s">
        <v>447</v>
      </c>
      <c r="F176" s="1" t="s">
        <v>5</v>
      </c>
    </row>
    <row r="177" spans="2:6" x14ac:dyDescent="0.25">
      <c r="B177" s="1"/>
      <c r="C177" s="1"/>
      <c r="D177" s="1"/>
      <c r="E177" s="1"/>
      <c r="F177" s="1"/>
    </row>
    <row r="178" spans="2:6" x14ac:dyDescent="0.25">
      <c r="B178" s="3" t="s">
        <v>6</v>
      </c>
      <c r="C178" s="1"/>
      <c r="D178" s="1"/>
      <c r="E178" s="1"/>
      <c r="F178" s="1"/>
    </row>
    <row r="179" spans="2:6" x14ac:dyDescent="0.25">
      <c r="B179" s="5" t="s">
        <v>7</v>
      </c>
      <c r="C179" s="1"/>
      <c r="D179" s="1"/>
      <c r="E179" s="1"/>
      <c r="F179" s="5">
        <v>2.0099999999999998</v>
      </c>
    </row>
    <row r="180" spans="2:6" x14ac:dyDescent="0.25">
      <c r="B180" s="5" t="s">
        <v>8</v>
      </c>
      <c r="C180" s="1"/>
      <c r="D180" s="1"/>
      <c r="E180" s="1"/>
      <c r="F180" s="5">
        <v>5.34</v>
      </c>
    </row>
    <row r="181" spans="2:6" ht="24.75" x14ac:dyDescent="0.25">
      <c r="B181" s="5" t="s">
        <v>11</v>
      </c>
      <c r="C181" s="1"/>
      <c r="D181" s="1"/>
      <c r="E181" s="1"/>
      <c r="F181" s="5">
        <v>0.55000000000000004</v>
      </c>
    </row>
    <row r="182" spans="2:6" ht="24.75" x14ac:dyDescent="0.25">
      <c r="B182" s="5" t="s">
        <v>12</v>
      </c>
      <c r="C182" s="1"/>
      <c r="D182" s="1"/>
      <c r="E182" s="1"/>
      <c r="F182" s="5">
        <v>0.53</v>
      </c>
    </row>
    <row r="183" spans="2:6" ht="24.75" x14ac:dyDescent="0.25">
      <c r="B183" s="5" t="s">
        <v>13</v>
      </c>
      <c r="C183" s="1"/>
      <c r="D183" s="1"/>
      <c r="E183" s="1"/>
      <c r="F183" s="5">
        <v>0.19</v>
      </c>
    </row>
    <row r="184" spans="2:6" ht="24.75" x14ac:dyDescent="0.25">
      <c r="B184" s="5" t="s">
        <v>14</v>
      </c>
      <c r="C184" s="1"/>
      <c r="D184" s="1"/>
      <c r="E184" s="1"/>
      <c r="F184" s="5">
        <v>1.25</v>
      </c>
    </row>
    <row r="185" spans="2:6" ht="24.75" x14ac:dyDescent="0.25">
      <c r="B185" s="5" t="s">
        <v>9</v>
      </c>
      <c r="C185" s="1"/>
      <c r="D185" s="1"/>
      <c r="E185" s="1"/>
      <c r="F185" s="5">
        <v>0.26</v>
      </c>
    </row>
    <row r="186" spans="2:6" ht="24.75" x14ac:dyDescent="0.25">
      <c r="B186" s="5" t="s">
        <v>15</v>
      </c>
      <c r="C186" s="1"/>
      <c r="D186" s="1"/>
      <c r="E186" s="1"/>
      <c r="F186" s="5">
        <v>0.27</v>
      </c>
    </row>
    <row r="187" spans="2:6" ht="24.75" x14ac:dyDescent="0.25">
      <c r="B187" s="5" t="s">
        <v>16</v>
      </c>
      <c r="C187" s="1"/>
      <c r="D187" s="1"/>
      <c r="E187" s="1"/>
      <c r="F187" s="5">
        <v>0.28999999999999998</v>
      </c>
    </row>
    <row r="188" spans="2:6" x14ac:dyDescent="0.25">
      <c r="B188" s="5" t="s">
        <v>17</v>
      </c>
      <c r="C188" s="1"/>
      <c r="D188" s="1"/>
      <c r="E188" s="1"/>
      <c r="F188" s="5">
        <v>0.32</v>
      </c>
    </row>
    <row r="189" spans="2:6" x14ac:dyDescent="0.25">
      <c r="B189" s="5" t="s">
        <v>18</v>
      </c>
      <c r="C189" s="1"/>
      <c r="D189" s="1"/>
      <c r="E189" s="1"/>
      <c r="F189" s="5">
        <v>1.97</v>
      </c>
    </row>
    <row r="190" spans="2:6" x14ac:dyDescent="0.25">
      <c r="B190" s="5" t="s">
        <v>19</v>
      </c>
      <c r="C190" s="1"/>
      <c r="D190" s="1"/>
      <c r="E190" s="1"/>
      <c r="F190" s="5">
        <v>3.51</v>
      </c>
    </row>
    <row r="191" spans="2:6" x14ac:dyDescent="0.25">
      <c r="B191" s="10" t="s">
        <v>20</v>
      </c>
      <c r="C191" s="1"/>
      <c r="D191" s="1"/>
      <c r="E191" s="1"/>
      <c r="F191" s="4">
        <f>SUM(F179:F190)</f>
        <v>16.489999999999998</v>
      </c>
    </row>
    <row r="192" spans="2:6" x14ac:dyDescent="0.25">
      <c r="B192" s="3" t="s">
        <v>21</v>
      </c>
      <c r="C192" s="1"/>
      <c r="D192" s="1"/>
      <c r="E192" s="1"/>
      <c r="F192" s="1"/>
    </row>
    <row r="193" spans="2:6" x14ac:dyDescent="0.25">
      <c r="B193" s="15" t="s">
        <v>252</v>
      </c>
      <c r="C193" s="1" t="s">
        <v>256</v>
      </c>
      <c r="D193" s="1">
        <v>3</v>
      </c>
      <c r="E193" s="1">
        <v>120</v>
      </c>
      <c r="F193" s="24">
        <f>E193/937*1000/12</f>
        <v>10.672358591248665</v>
      </c>
    </row>
    <row r="194" spans="2:6" x14ac:dyDescent="0.25">
      <c r="B194" s="15" t="s">
        <v>253</v>
      </c>
      <c r="C194" s="1" t="s">
        <v>26</v>
      </c>
      <c r="D194" s="1">
        <v>120</v>
      </c>
      <c r="E194" s="1">
        <v>84</v>
      </c>
      <c r="F194" s="24">
        <f t="shared" ref="F194:F204" si="4">E194/937*1000/12</f>
        <v>7.4706510138740656</v>
      </c>
    </row>
    <row r="195" spans="2:6" x14ac:dyDescent="0.25">
      <c r="B195" s="15" t="s">
        <v>254</v>
      </c>
      <c r="C195" s="1" t="s">
        <v>26</v>
      </c>
      <c r="D195" s="1">
        <v>90</v>
      </c>
      <c r="E195" s="1">
        <v>54</v>
      </c>
      <c r="F195" s="24">
        <f t="shared" si="4"/>
        <v>4.8025613660618998</v>
      </c>
    </row>
    <row r="196" spans="2:6" x14ac:dyDescent="0.25">
      <c r="B196" s="15" t="s">
        <v>257</v>
      </c>
      <c r="C196" s="1" t="s">
        <v>26</v>
      </c>
      <c r="D196" s="1">
        <v>160</v>
      </c>
      <c r="E196" s="1">
        <v>192</v>
      </c>
      <c r="F196" s="24">
        <f t="shared" si="4"/>
        <v>17.075773745997868</v>
      </c>
    </row>
    <row r="197" spans="2:6" x14ac:dyDescent="0.25">
      <c r="B197" s="15" t="s">
        <v>262</v>
      </c>
      <c r="C197" s="1" t="s">
        <v>261</v>
      </c>
      <c r="D197" s="1">
        <v>18</v>
      </c>
      <c r="E197" s="1">
        <v>23.4</v>
      </c>
      <c r="F197" s="24">
        <f t="shared" si="4"/>
        <v>2.0811099252934899</v>
      </c>
    </row>
    <row r="198" spans="2:6" x14ac:dyDescent="0.25">
      <c r="B198" s="15" t="s">
        <v>258</v>
      </c>
      <c r="C198" s="1" t="s">
        <v>261</v>
      </c>
      <c r="D198" s="1">
        <v>18</v>
      </c>
      <c r="E198" s="1">
        <v>23.4</v>
      </c>
      <c r="F198" s="24">
        <f t="shared" si="4"/>
        <v>2.0811099252934899</v>
      </c>
    </row>
    <row r="199" spans="2:6" x14ac:dyDescent="0.25">
      <c r="B199" s="15" t="s">
        <v>255</v>
      </c>
      <c r="C199" s="1" t="s">
        <v>26</v>
      </c>
      <c r="D199" s="1">
        <v>2.6</v>
      </c>
      <c r="E199" s="1">
        <v>6.5</v>
      </c>
      <c r="F199" s="24">
        <f t="shared" si="4"/>
        <v>0.5780860903593027</v>
      </c>
    </row>
    <row r="200" spans="2:6" x14ac:dyDescent="0.25">
      <c r="B200" s="15" t="s">
        <v>263</v>
      </c>
      <c r="C200" s="1" t="s">
        <v>26</v>
      </c>
      <c r="D200" s="1">
        <v>20</v>
      </c>
      <c r="E200" s="1">
        <v>20</v>
      </c>
      <c r="F200" s="24">
        <f t="shared" si="4"/>
        <v>1.7787264318747777</v>
      </c>
    </row>
    <row r="201" spans="2:6" x14ac:dyDescent="0.25">
      <c r="B201" s="26" t="s">
        <v>316</v>
      </c>
      <c r="C201" s="1" t="s">
        <v>261</v>
      </c>
      <c r="D201" s="1">
        <v>28</v>
      </c>
      <c r="E201" s="1">
        <v>34</v>
      </c>
      <c r="F201" s="24">
        <f t="shared" si="4"/>
        <v>3.0238349341871218</v>
      </c>
    </row>
    <row r="202" spans="2:6" x14ac:dyDescent="0.25">
      <c r="B202" s="1"/>
      <c r="C202" s="1"/>
      <c r="D202" s="1"/>
      <c r="E202" s="1"/>
      <c r="F202" s="24">
        <f t="shared" si="4"/>
        <v>0</v>
      </c>
    </row>
    <row r="203" spans="2:6" x14ac:dyDescent="0.25">
      <c r="B203" s="1"/>
      <c r="C203" s="1"/>
      <c r="D203" s="1"/>
      <c r="E203" s="1"/>
      <c r="F203" s="24">
        <f t="shared" si="4"/>
        <v>0</v>
      </c>
    </row>
    <row r="204" spans="2:6" x14ac:dyDescent="0.25">
      <c r="B204" s="1"/>
      <c r="C204" s="1"/>
      <c r="D204" s="1"/>
      <c r="E204" s="1"/>
      <c r="F204" s="24">
        <f t="shared" si="4"/>
        <v>0</v>
      </c>
    </row>
    <row r="205" spans="2:6" x14ac:dyDescent="0.25">
      <c r="B205" s="10" t="s">
        <v>20</v>
      </c>
      <c r="C205" s="1"/>
      <c r="D205" s="1"/>
      <c r="E205" s="4">
        <f>SUM(E193:E204)</f>
        <v>557.29999999999995</v>
      </c>
      <c r="F205" s="22">
        <f>SUM(F193:F204)</f>
        <v>49.564212024190681</v>
      </c>
    </row>
    <row r="206" spans="2:6" x14ac:dyDescent="0.25">
      <c r="B206" s="4" t="s">
        <v>22</v>
      </c>
      <c r="C206" s="6"/>
      <c r="D206" s="6"/>
      <c r="E206" s="6"/>
      <c r="F206" s="23">
        <f>F191+F205</f>
        <v>66.054212024190676</v>
      </c>
    </row>
    <row r="207" spans="2:6" x14ac:dyDescent="0.25">
      <c r="B207" s="7"/>
      <c r="C207" s="7"/>
      <c r="D207" s="7"/>
      <c r="E207" s="7"/>
      <c r="F207" s="7"/>
    </row>
    <row r="208" spans="2:6" x14ac:dyDescent="0.25">
      <c r="B208" s="18"/>
      <c r="C208" s="18"/>
      <c r="D208" s="18"/>
      <c r="E208" s="18"/>
      <c r="F208" s="18"/>
    </row>
    <row r="209" spans="2:6" x14ac:dyDescent="0.25">
      <c r="B209" s="18"/>
      <c r="C209" s="18"/>
      <c r="D209" s="18"/>
      <c r="E209" s="18"/>
      <c r="F209" s="18"/>
    </row>
    <row r="210" spans="2:6" x14ac:dyDescent="0.25">
      <c r="B210" s="39" t="s">
        <v>23</v>
      </c>
      <c r="C210" s="38"/>
      <c r="D210" s="38"/>
      <c r="E210" s="39" t="s">
        <v>24</v>
      </c>
      <c r="F210" s="38"/>
    </row>
    <row r="213" spans="2:6" ht="30.6" customHeight="1" x14ac:dyDescent="0.25">
      <c r="B213" s="37" t="s">
        <v>174</v>
      </c>
      <c r="C213" s="37"/>
      <c r="D213" s="37"/>
      <c r="E213" s="37"/>
      <c r="F213" s="37"/>
    </row>
    <row r="214" spans="2:6" ht="30.6" customHeight="1" x14ac:dyDescent="0.25">
      <c r="B214" s="37" t="s">
        <v>1</v>
      </c>
      <c r="C214" s="37"/>
      <c r="D214" s="37"/>
      <c r="E214" s="37"/>
      <c r="F214" s="37"/>
    </row>
    <row r="215" spans="2:6" x14ac:dyDescent="0.25">
      <c r="B215" s="16" t="s">
        <v>0</v>
      </c>
      <c r="C215" s="16"/>
      <c r="D215" s="16"/>
      <c r="E215" s="16"/>
      <c r="F215" s="16"/>
    </row>
    <row r="216" spans="2:6" x14ac:dyDescent="0.25">
      <c r="B216" s="17"/>
      <c r="C216" s="38" t="s">
        <v>25</v>
      </c>
      <c r="D216" s="38"/>
      <c r="E216" s="17">
        <v>919.2</v>
      </c>
      <c r="F216" s="17" t="s">
        <v>26</v>
      </c>
    </row>
    <row r="218" spans="2:6" ht="45" x14ac:dyDescent="0.25">
      <c r="B218" s="1" t="s">
        <v>2</v>
      </c>
      <c r="C218" s="1" t="s">
        <v>4</v>
      </c>
      <c r="D218" s="1" t="s">
        <v>3</v>
      </c>
      <c r="E218" s="1" t="s">
        <v>447</v>
      </c>
      <c r="F218" s="1" t="s">
        <v>5</v>
      </c>
    </row>
    <row r="219" spans="2:6" x14ac:dyDescent="0.25">
      <c r="B219" s="1"/>
      <c r="C219" s="1"/>
      <c r="D219" s="1"/>
      <c r="E219" s="1"/>
      <c r="F219" s="1"/>
    </row>
    <row r="220" spans="2:6" x14ac:dyDescent="0.25">
      <c r="B220" s="3" t="s">
        <v>6</v>
      </c>
      <c r="C220" s="1"/>
      <c r="D220" s="1"/>
      <c r="E220" s="1"/>
      <c r="F220" s="1"/>
    </row>
    <row r="221" spans="2:6" x14ac:dyDescent="0.25">
      <c r="B221" s="5" t="s">
        <v>7</v>
      </c>
      <c r="C221" s="1"/>
      <c r="D221" s="1"/>
      <c r="E221" s="1"/>
      <c r="F221" s="5">
        <v>2.0099999999999998</v>
      </c>
    </row>
    <row r="222" spans="2:6" x14ac:dyDescent="0.25">
      <c r="B222" s="5" t="s">
        <v>8</v>
      </c>
      <c r="C222" s="1"/>
      <c r="D222" s="1"/>
      <c r="E222" s="1"/>
      <c r="F222" s="5">
        <v>5.34</v>
      </c>
    </row>
    <row r="223" spans="2:6" ht="24.75" x14ac:dyDescent="0.25">
      <c r="B223" s="5" t="s">
        <v>11</v>
      </c>
      <c r="C223" s="1"/>
      <c r="D223" s="1"/>
      <c r="E223" s="1"/>
      <c r="F223" s="5">
        <v>0.55000000000000004</v>
      </c>
    </row>
    <row r="224" spans="2:6" ht="24.75" x14ac:dyDescent="0.25">
      <c r="B224" s="5" t="s">
        <v>12</v>
      </c>
      <c r="C224" s="1"/>
      <c r="D224" s="1"/>
      <c r="E224" s="1"/>
      <c r="F224" s="5">
        <v>0.53</v>
      </c>
    </row>
    <row r="225" spans="2:6" ht="24.75" x14ac:dyDescent="0.25">
      <c r="B225" s="5" t="s">
        <v>13</v>
      </c>
      <c r="C225" s="1"/>
      <c r="D225" s="1"/>
      <c r="E225" s="1"/>
      <c r="F225" s="5">
        <v>0.19</v>
      </c>
    </row>
    <row r="226" spans="2:6" ht="24.75" x14ac:dyDescent="0.25">
      <c r="B226" s="5" t="s">
        <v>14</v>
      </c>
      <c r="C226" s="1"/>
      <c r="D226" s="1"/>
      <c r="E226" s="1"/>
      <c r="F226" s="5">
        <v>1.25</v>
      </c>
    </row>
    <row r="227" spans="2:6" ht="24.75" x14ac:dyDescent="0.25">
      <c r="B227" s="5" t="s">
        <v>9</v>
      </c>
      <c r="C227" s="1"/>
      <c r="D227" s="1"/>
      <c r="E227" s="1"/>
      <c r="F227" s="5">
        <v>0.26</v>
      </c>
    </row>
    <row r="228" spans="2:6" ht="24.75" x14ac:dyDescent="0.25">
      <c r="B228" s="5" t="s">
        <v>15</v>
      </c>
      <c r="C228" s="1"/>
      <c r="D228" s="1"/>
      <c r="E228" s="1"/>
      <c r="F228" s="5">
        <v>0.27</v>
      </c>
    </row>
    <row r="229" spans="2:6" ht="24.75" x14ac:dyDescent="0.25">
      <c r="B229" s="5" t="s">
        <v>16</v>
      </c>
      <c r="C229" s="1"/>
      <c r="D229" s="1"/>
      <c r="E229" s="1"/>
      <c r="F229" s="5">
        <v>0.28999999999999998</v>
      </c>
    </row>
    <row r="230" spans="2:6" x14ac:dyDescent="0.25">
      <c r="B230" s="5" t="s">
        <v>17</v>
      </c>
      <c r="C230" s="1"/>
      <c r="D230" s="1"/>
      <c r="E230" s="1"/>
      <c r="F230" s="5">
        <v>0.32</v>
      </c>
    </row>
    <row r="231" spans="2:6" x14ac:dyDescent="0.25">
      <c r="B231" s="5" t="s">
        <v>18</v>
      </c>
      <c r="C231" s="1"/>
      <c r="D231" s="1"/>
      <c r="E231" s="1"/>
      <c r="F231" s="5">
        <v>1.97</v>
      </c>
    </row>
    <row r="232" spans="2:6" x14ac:dyDescent="0.25">
      <c r="B232" s="5" t="s">
        <v>19</v>
      </c>
      <c r="C232" s="1"/>
      <c r="D232" s="1"/>
      <c r="E232" s="1"/>
      <c r="F232" s="5">
        <v>3.51</v>
      </c>
    </row>
    <row r="233" spans="2:6" x14ac:dyDescent="0.25">
      <c r="B233" s="10" t="s">
        <v>20</v>
      </c>
      <c r="C233" s="1"/>
      <c r="D233" s="1"/>
      <c r="E233" s="1"/>
      <c r="F233" s="4">
        <f>SUM(F221:F232)</f>
        <v>16.489999999999998</v>
      </c>
    </row>
    <row r="234" spans="2:6" x14ac:dyDescent="0.25">
      <c r="B234" s="3" t="s">
        <v>21</v>
      </c>
      <c r="C234" s="1"/>
      <c r="D234" s="1"/>
      <c r="E234" s="1"/>
      <c r="F234" s="1"/>
    </row>
    <row r="235" spans="2:6" x14ac:dyDescent="0.25">
      <c r="B235" s="15" t="s">
        <v>252</v>
      </c>
      <c r="C235" s="1" t="s">
        <v>256</v>
      </c>
      <c r="D235" s="1">
        <v>3</v>
      </c>
      <c r="E235" s="1">
        <v>120</v>
      </c>
      <c r="F235" s="24">
        <f>E235/919.2*1000/12</f>
        <v>10.879025239338555</v>
      </c>
    </row>
    <row r="236" spans="2:6" x14ac:dyDescent="0.25">
      <c r="B236" s="15" t="s">
        <v>264</v>
      </c>
      <c r="C236" s="1" t="s">
        <v>265</v>
      </c>
      <c r="D236" s="1">
        <v>1</v>
      </c>
      <c r="E236" s="1">
        <v>10</v>
      </c>
      <c r="F236" s="24">
        <f t="shared" ref="F236:F246" si="5">E236/919.2*1000/12</f>
        <v>0.90658543661154622</v>
      </c>
    </row>
    <row r="237" spans="2:6" x14ac:dyDescent="0.25">
      <c r="B237" s="15" t="s">
        <v>253</v>
      </c>
      <c r="C237" s="1" t="s">
        <v>26</v>
      </c>
      <c r="D237" s="1">
        <v>120</v>
      </c>
      <c r="E237" s="1">
        <v>84</v>
      </c>
      <c r="F237" s="24">
        <f t="shared" si="5"/>
        <v>7.6153176675369885</v>
      </c>
    </row>
    <row r="238" spans="2:6" x14ac:dyDescent="0.25">
      <c r="B238" s="15" t="s">
        <v>254</v>
      </c>
      <c r="C238" s="1" t="s">
        <v>26</v>
      </c>
      <c r="D238" s="1">
        <v>70</v>
      </c>
      <c r="E238" s="1">
        <v>42</v>
      </c>
      <c r="F238" s="24">
        <f t="shared" si="5"/>
        <v>3.8076588337684942</v>
      </c>
    </row>
    <row r="239" spans="2:6" x14ac:dyDescent="0.25">
      <c r="B239" s="26" t="s">
        <v>316</v>
      </c>
      <c r="C239" s="1" t="s">
        <v>261</v>
      </c>
      <c r="D239" s="1">
        <v>28</v>
      </c>
      <c r="E239" s="1">
        <v>34</v>
      </c>
      <c r="F239" s="24">
        <f t="shared" si="5"/>
        <v>3.0823904844792573</v>
      </c>
    </row>
    <row r="240" spans="2:6" x14ac:dyDescent="0.25">
      <c r="B240" s="1"/>
      <c r="C240" s="1"/>
      <c r="D240" s="1"/>
      <c r="E240" s="1"/>
      <c r="F240" s="24">
        <f t="shared" si="5"/>
        <v>0</v>
      </c>
    </row>
    <row r="241" spans="2:6" x14ac:dyDescent="0.25">
      <c r="B241" s="1"/>
      <c r="C241" s="1"/>
      <c r="D241" s="1"/>
      <c r="E241" s="1"/>
      <c r="F241" s="24">
        <f t="shared" si="5"/>
        <v>0</v>
      </c>
    </row>
    <row r="242" spans="2:6" x14ac:dyDescent="0.25">
      <c r="B242" s="1"/>
      <c r="C242" s="1"/>
      <c r="D242" s="1"/>
      <c r="E242" s="1"/>
      <c r="F242" s="24">
        <f t="shared" si="5"/>
        <v>0</v>
      </c>
    </row>
    <row r="243" spans="2:6" x14ac:dyDescent="0.25">
      <c r="B243" s="1"/>
      <c r="C243" s="1"/>
      <c r="D243" s="1"/>
      <c r="E243" s="1"/>
      <c r="F243" s="24">
        <f t="shared" si="5"/>
        <v>0</v>
      </c>
    </row>
    <row r="244" spans="2:6" x14ac:dyDescent="0.25">
      <c r="B244" s="1"/>
      <c r="C244" s="1"/>
      <c r="D244" s="1"/>
      <c r="E244" s="1"/>
      <c r="F244" s="24">
        <f t="shared" si="5"/>
        <v>0</v>
      </c>
    </row>
    <row r="245" spans="2:6" x14ac:dyDescent="0.25">
      <c r="B245" s="1"/>
      <c r="C245" s="1"/>
      <c r="D245" s="1"/>
      <c r="E245" s="1"/>
      <c r="F245" s="24">
        <f t="shared" si="5"/>
        <v>0</v>
      </c>
    </row>
    <row r="246" spans="2:6" x14ac:dyDescent="0.25">
      <c r="B246" s="1"/>
      <c r="C246" s="1"/>
      <c r="D246" s="1"/>
      <c r="E246" s="1"/>
      <c r="F246" s="24">
        <f t="shared" si="5"/>
        <v>0</v>
      </c>
    </row>
    <row r="247" spans="2:6" x14ac:dyDescent="0.25">
      <c r="B247" s="10" t="s">
        <v>20</v>
      </c>
      <c r="C247" s="1"/>
      <c r="D247" s="1"/>
      <c r="E247" s="4">
        <f>SUM(E235:E246)</f>
        <v>290</v>
      </c>
      <c r="F247" s="22">
        <f>SUM(F235:F246)</f>
        <v>26.290977661734839</v>
      </c>
    </row>
    <row r="248" spans="2:6" x14ac:dyDescent="0.25">
      <c r="B248" s="4" t="s">
        <v>22</v>
      </c>
      <c r="C248" s="6"/>
      <c r="D248" s="6"/>
      <c r="E248" s="6"/>
      <c r="F248" s="23">
        <f>F233+F247</f>
        <v>42.780977661734838</v>
      </c>
    </row>
    <row r="249" spans="2:6" x14ac:dyDescent="0.25">
      <c r="B249" s="7"/>
      <c r="C249" s="7"/>
      <c r="D249" s="7"/>
      <c r="E249" s="7"/>
      <c r="F249" s="7"/>
    </row>
    <row r="250" spans="2:6" x14ac:dyDescent="0.25">
      <c r="B250" s="18"/>
      <c r="C250" s="18"/>
      <c r="D250" s="18"/>
      <c r="E250" s="18"/>
      <c r="F250" s="18"/>
    </row>
    <row r="251" spans="2:6" x14ac:dyDescent="0.25">
      <c r="B251" s="18"/>
      <c r="C251" s="18"/>
      <c r="D251" s="18"/>
      <c r="E251" s="18"/>
      <c r="F251" s="18"/>
    </row>
    <row r="252" spans="2:6" x14ac:dyDescent="0.25">
      <c r="B252" s="39" t="s">
        <v>23</v>
      </c>
      <c r="C252" s="38"/>
      <c r="D252" s="38"/>
      <c r="E252" s="39" t="s">
        <v>24</v>
      </c>
      <c r="F252" s="38"/>
    </row>
    <row r="255" spans="2:6" ht="37.9" customHeight="1" x14ac:dyDescent="0.25">
      <c r="B255" s="37" t="s">
        <v>175</v>
      </c>
      <c r="C255" s="37"/>
      <c r="D255" s="37"/>
      <c r="E255" s="37"/>
      <c r="F255" s="37"/>
    </row>
    <row r="256" spans="2:6" ht="27.6" customHeight="1" x14ac:dyDescent="0.25">
      <c r="B256" s="37" t="s">
        <v>1</v>
      </c>
      <c r="C256" s="37"/>
      <c r="D256" s="37"/>
      <c r="E256" s="37"/>
      <c r="F256" s="37"/>
    </row>
    <row r="257" spans="2:6" x14ac:dyDescent="0.25">
      <c r="B257" s="16" t="s">
        <v>0</v>
      </c>
      <c r="C257" s="16"/>
      <c r="D257" s="16"/>
      <c r="E257" s="16"/>
      <c r="F257" s="16"/>
    </row>
    <row r="258" spans="2:6" x14ac:dyDescent="0.25">
      <c r="B258" s="17"/>
      <c r="C258" s="38" t="s">
        <v>25</v>
      </c>
      <c r="D258" s="38"/>
      <c r="E258" s="17">
        <v>886.9</v>
      </c>
      <c r="F258" s="17" t="s">
        <v>26</v>
      </c>
    </row>
    <row r="260" spans="2:6" ht="45" x14ac:dyDescent="0.25">
      <c r="B260" s="1" t="s">
        <v>2</v>
      </c>
      <c r="C260" s="1" t="s">
        <v>4</v>
      </c>
      <c r="D260" s="1" t="s">
        <v>3</v>
      </c>
      <c r="E260" s="1" t="s">
        <v>447</v>
      </c>
      <c r="F260" s="1" t="s">
        <v>5</v>
      </c>
    </row>
    <row r="261" spans="2:6" x14ac:dyDescent="0.25">
      <c r="B261" s="1"/>
      <c r="C261" s="1"/>
      <c r="D261" s="1"/>
      <c r="E261" s="1"/>
      <c r="F261" s="1"/>
    </row>
    <row r="262" spans="2:6" x14ac:dyDescent="0.25">
      <c r="B262" s="3" t="s">
        <v>6</v>
      </c>
      <c r="C262" s="1"/>
      <c r="D262" s="1"/>
      <c r="E262" s="1"/>
      <c r="F262" s="1"/>
    </row>
    <row r="263" spans="2:6" x14ac:dyDescent="0.25">
      <c r="B263" s="5" t="s">
        <v>7</v>
      </c>
      <c r="C263" s="1"/>
      <c r="D263" s="1"/>
      <c r="E263" s="1"/>
      <c r="F263" s="5">
        <v>2.0099999999999998</v>
      </c>
    </row>
    <row r="264" spans="2:6" x14ac:dyDescent="0.25">
      <c r="B264" s="5" t="s">
        <v>8</v>
      </c>
      <c r="C264" s="1"/>
      <c r="D264" s="1"/>
      <c r="E264" s="1"/>
      <c r="F264" s="5">
        <v>5.34</v>
      </c>
    </row>
    <row r="265" spans="2:6" ht="24.75" x14ac:dyDescent="0.25">
      <c r="B265" s="5" t="s">
        <v>11</v>
      </c>
      <c r="C265" s="1"/>
      <c r="D265" s="1"/>
      <c r="E265" s="1"/>
      <c r="F265" s="5">
        <v>0.55000000000000004</v>
      </c>
    </row>
    <row r="266" spans="2:6" ht="24.75" x14ac:dyDescent="0.25">
      <c r="B266" s="5" t="s">
        <v>12</v>
      </c>
      <c r="C266" s="1"/>
      <c r="D266" s="1"/>
      <c r="E266" s="1"/>
      <c r="F266" s="5">
        <v>0.53</v>
      </c>
    </row>
    <row r="267" spans="2:6" ht="24.75" x14ac:dyDescent="0.25">
      <c r="B267" s="5" t="s">
        <v>13</v>
      </c>
      <c r="C267" s="1"/>
      <c r="D267" s="1"/>
      <c r="E267" s="1"/>
      <c r="F267" s="5">
        <v>0.19</v>
      </c>
    </row>
    <row r="268" spans="2:6" ht="24.75" x14ac:dyDescent="0.25">
      <c r="B268" s="5" t="s">
        <v>14</v>
      </c>
      <c r="C268" s="1"/>
      <c r="D268" s="1"/>
      <c r="E268" s="1"/>
      <c r="F268" s="5">
        <v>1.25</v>
      </c>
    </row>
    <row r="269" spans="2:6" ht="24.75" x14ac:dyDescent="0.25">
      <c r="B269" s="5" t="s">
        <v>9</v>
      </c>
      <c r="C269" s="1"/>
      <c r="D269" s="1"/>
      <c r="E269" s="1"/>
      <c r="F269" s="5">
        <v>0.26</v>
      </c>
    </row>
    <row r="270" spans="2:6" ht="24.75" x14ac:dyDescent="0.25">
      <c r="B270" s="5" t="s">
        <v>15</v>
      </c>
      <c r="C270" s="1"/>
      <c r="D270" s="1"/>
      <c r="E270" s="1"/>
      <c r="F270" s="5">
        <v>0.27</v>
      </c>
    </row>
    <row r="271" spans="2:6" ht="24.75" x14ac:dyDescent="0.25">
      <c r="B271" s="5" t="s">
        <v>16</v>
      </c>
      <c r="C271" s="1"/>
      <c r="D271" s="1"/>
      <c r="E271" s="1"/>
      <c r="F271" s="5">
        <v>0.28999999999999998</v>
      </c>
    </row>
    <row r="272" spans="2:6" x14ac:dyDescent="0.25">
      <c r="B272" s="5" t="s">
        <v>17</v>
      </c>
      <c r="C272" s="1"/>
      <c r="D272" s="1"/>
      <c r="E272" s="1"/>
      <c r="F272" s="5">
        <v>0.32</v>
      </c>
    </row>
    <row r="273" spans="2:6" x14ac:dyDescent="0.25">
      <c r="B273" s="5" t="s">
        <v>18</v>
      </c>
      <c r="C273" s="1"/>
      <c r="D273" s="1"/>
      <c r="E273" s="1"/>
      <c r="F273" s="5">
        <v>1.97</v>
      </c>
    </row>
    <row r="274" spans="2:6" x14ac:dyDescent="0.25">
      <c r="B274" s="5" t="s">
        <v>19</v>
      </c>
      <c r="C274" s="1"/>
      <c r="D274" s="1"/>
      <c r="E274" s="1"/>
      <c r="F274" s="5">
        <v>3.51</v>
      </c>
    </row>
    <row r="275" spans="2:6" x14ac:dyDescent="0.25">
      <c r="B275" s="10" t="s">
        <v>20</v>
      </c>
      <c r="C275" s="1"/>
      <c r="D275" s="1"/>
      <c r="E275" s="1"/>
      <c r="F275" s="4">
        <f>SUM(F263:F274)</f>
        <v>16.489999999999998</v>
      </c>
    </row>
    <row r="276" spans="2:6" x14ac:dyDescent="0.25">
      <c r="B276" s="3" t="s">
        <v>21</v>
      </c>
      <c r="C276" s="1"/>
      <c r="D276" s="1"/>
      <c r="E276" s="1"/>
      <c r="F276" s="1"/>
    </row>
    <row r="277" spans="2:6" x14ac:dyDescent="0.25">
      <c r="B277" s="15" t="s">
        <v>252</v>
      </c>
      <c r="C277" s="1" t="s">
        <v>256</v>
      </c>
      <c r="D277" s="1">
        <v>3</v>
      </c>
      <c r="E277" s="1">
        <v>120</v>
      </c>
      <c r="F277" s="24">
        <f>E277/886.9*1000/12</f>
        <v>11.275228323373549</v>
      </c>
    </row>
    <row r="278" spans="2:6" x14ac:dyDescent="0.25">
      <c r="B278" s="15" t="s">
        <v>253</v>
      </c>
      <c r="C278" s="1" t="s">
        <v>26</v>
      </c>
      <c r="D278" s="1">
        <v>120</v>
      </c>
      <c r="E278" s="1">
        <v>84</v>
      </c>
      <c r="F278" s="24">
        <f t="shared" ref="F278:F288" si="6">E278/886.9*1000/12</f>
        <v>7.8926598263614842</v>
      </c>
    </row>
    <row r="279" spans="2:6" x14ac:dyDescent="0.25">
      <c r="B279" s="15" t="s">
        <v>254</v>
      </c>
      <c r="C279" s="1" t="s">
        <v>26</v>
      </c>
      <c r="D279" s="1">
        <v>50</v>
      </c>
      <c r="E279" s="1">
        <v>30</v>
      </c>
      <c r="F279" s="24">
        <f t="shared" si="6"/>
        <v>2.8188070808433872</v>
      </c>
    </row>
    <row r="280" spans="2:6" x14ac:dyDescent="0.25">
      <c r="B280" s="15" t="s">
        <v>257</v>
      </c>
      <c r="C280" s="1" t="s">
        <v>26</v>
      </c>
      <c r="D280" s="1">
        <v>40</v>
      </c>
      <c r="E280" s="1">
        <v>48</v>
      </c>
      <c r="F280" s="24">
        <f t="shared" si="6"/>
        <v>4.5100913293494189</v>
      </c>
    </row>
    <row r="281" spans="2:6" x14ac:dyDescent="0.25">
      <c r="B281" s="15" t="s">
        <v>255</v>
      </c>
      <c r="C281" s="1" t="s">
        <v>26</v>
      </c>
      <c r="D281" s="1">
        <v>2.2999999999999998</v>
      </c>
      <c r="E281" s="1">
        <v>5.75</v>
      </c>
      <c r="F281" s="24">
        <f t="shared" si="6"/>
        <v>0.5402713571616492</v>
      </c>
    </row>
    <row r="282" spans="2:6" x14ac:dyDescent="0.25">
      <c r="B282" s="26" t="s">
        <v>316</v>
      </c>
      <c r="C282" s="1" t="s">
        <v>261</v>
      </c>
      <c r="D282" s="1">
        <v>26</v>
      </c>
      <c r="E282" s="1">
        <v>31</v>
      </c>
      <c r="F282" s="24">
        <f t="shared" si="6"/>
        <v>2.9127673168715003</v>
      </c>
    </row>
    <row r="283" spans="2:6" x14ac:dyDescent="0.25">
      <c r="B283" s="1"/>
      <c r="C283" s="1"/>
      <c r="D283" s="1"/>
      <c r="E283" s="1"/>
      <c r="F283" s="24">
        <f t="shared" si="6"/>
        <v>0</v>
      </c>
    </row>
    <row r="284" spans="2:6" x14ac:dyDescent="0.25">
      <c r="B284" s="1"/>
      <c r="C284" s="1"/>
      <c r="D284" s="1"/>
      <c r="E284" s="1"/>
      <c r="F284" s="24">
        <f t="shared" si="6"/>
        <v>0</v>
      </c>
    </row>
    <row r="285" spans="2:6" x14ac:dyDescent="0.25">
      <c r="B285" s="1"/>
      <c r="C285" s="1"/>
      <c r="D285" s="1"/>
      <c r="E285" s="1"/>
      <c r="F285" s="24">
        <f t="shared" si="6"/>
        <v>0</v>
      </c>
    </row>
    <row r="286" spans="2:6" x14ac:dyDescent="0.25">
      <c r="B286" s="1"/>
      <c r="C286" s="1"/>
      <c r="D286" s="1"/>
      <c r="E286" s="1"/>
      <c r="F286" s="24">
        <f t="shared" si="6"/>
        <v>0</v>
      </c>
    </row>
    <row r="287" spans="2:6" x14ac:dyDescent="0.25">
      <c r="B287" s="1"/>
      <c r="C287" s="1"/>
      <c r="D287" s="1"/>
      <c r="E287" s="1"/>
      <c r="F287" s="24">
        <f t="shared" si="6"/>
        <v>0</v>
      </c>
    </row>
    <row r="288" spans="2:6" x14ac:dyDescent="0.25">
      <c r="B288" s="1"/>
      <c r="C288" s="1"/>
      <c r="D288" s="1"/>
      <c r="E288" s="1"/>
      <c r="F288" s="24">
        <f t="shared" si="6"/>
        <v>0</v>
      </c>
    </row>
    <row r="289" spans="2:6" x14ac:dyDescent="0.25">
      <c r="B289" s="10" t="s">
        <v>20</v>
      </c>
      <c r="C289" s="1"/>
      <c r="D289" s="1"/>
      <c r="E289" s="4">
        <f>SUM(E277:E288)</f>
        <v>318.75</v>
      </c>
      <c r="F289" s="22">
        <f>SUM(F277:F288)</f>
        <v>29.949825233960993</v>
      </c>
    </row>
    <row r="290" spans="2:6" x14ac:dyDescent="0.25">
      <c r="B290" s="4" t="s">
        <v>22</v>
      </c>
      <c r="C290" s="6"/>
      <c r="D290" s="6"/>
      <c r="E290" s="6"/>
      <c r="F290" s="23">
        <f>F275+F289</f>
        <v>46.439825233960988</v>
      </c>
    </row>
    <row r="291" spans="2:6" x14ac:dyDescent="0.25">
      <c r="B291" s="7"/>
      <c r="C291" s="7"/>
      <c r="D291" s="7"/>
      <c r="E291" s="7"/>
      <c r="F291" s="7"/>
    </row>
    <row r="292" spans="2:6" x14ac:dyDescent="0.25">
      <c r="B292" s="18"/>
      <c r="C292" s="18"/>
      <c r="D292" s="18"/>
      <c r="E292" s="18"/>
      <c r="F292" s="18"/>
    </row>
    <row r="293" spans="2:6" x14ac:dyDescent="0.25">
      <c r="B293" s="18"/>
      <c r="C293" s="18"/>
      <c r="D293" s="18"/>
      <c r="E293" s="18"/>
      <c r="F293" s="18"/>
    </row>
    <row r="294" spans="2:6" x14ac:dyDescent="0.25">
      <c r="B294" s="39" t="s">
        <v>23</v>
      </c>
      <c r="C294" s="38"/>
      <c r="D294" s="38"/>
      <c r="E294" s="39" t="s">
        <v>24</v>
      </c>
      <c r="F294" s="38"/>
    </row>
    <row r="297" spans="2:6" ht="34.9" customHeight="1" x14ac:dyDescent="0.25">
      <c r="B297" s="37" t="s">
        <v>176</v>
      </c>
      <c r="C297" s="37"/>
      <c r="D297" s="37"/>
      <c r="E297" s="37"/>
      <c r="F297" s="37"/>
    </row>
    <row r="298" spans="2:6" ht="33" customHeight="1" x14ac:dyDescent="0.25">
      <c r="B298" s="37" t="s">
        <v>1</v>
      </c>
      <c r="C298" s="37"/>
      <c r="D298" s="37"/>
      <c r="E298" s="37"/>
      <c r="F298" s="37"/>
    </row>
    <row r="299" spans="2:6" x14ac:dyDescent="0.25">
      <c r="B299" s="16" t="s">
        <v>0</v>
      </c>
      <c r="C299" s="16"/>
      <c r="D299" s="16"/>
      <c r="E299" s="16"/>
      <c r="F299" s="16"/>
    </row>
    <row r="300" spans="2:6" x14ac:dyDescent="0.25">
      <c r="B300" s="17"/>
      <c r="C300" s="38" t="s">
        <v>25</v>
      </c>
      <c r="D300" s="38"/>
      <c r="E300" s="17">
        <v>914.1</v>
      </c>
      <c r="F300" s="17" t="s">
        <v>26</v>
      </c>
    </row>
    <row r="302" spans="2:6" ht="45" x14ac:dyDescent="0.25">
      <c r="B302" s="1" t="s">
        <v>2</v>
      </c>
      <c r="C302" s="1" t="s">
        <v>4</v>
      </c>
      <c r="D302" s="1" t="s">
        <v>3</v>
      </c>
      <c r="E302" s="1" t="s">
        <v>447</v>
      </c>
      <c r="F302" s="1" t="s">
        <v>5</v>
      </c>
    </row>
    <row r="303" spans="2:6" x14ac:dyDescent="0.25">
      <c r="B303" s="1"/>
      <c r="C303" s="1"/>
      <c r="D303" s="1"/>
      <c r="E303" s="1"/>
      <c r="F303" s="1"/>
    </row>
    <row r="304" spans="2:6" x14ac:dyDescent="0.25">
      <c r="B304" s="3" t="s">
        <v>6</v>
      </c>
      <c r="C304" s="1"/>
      <c r="D304" s="1"/>
      <c r="E304" s="1"/>
      <c r="F304" s="1"/>
    </row>
    <row r="305" spans="2:6" x14ac:dyDescent="0.25">
      <c r="B305" s="5" t="s">
        <v>7</v>
      </c>
      <c r="C305" s="1"/>
      <c r="D305" s="1"/>
      <c r="E305" s="1"/>
      <c r="F305" s="5">
        <v>2.0099999999999998</v>
      </c>
    </row>
    <row r="306" spans="2:6" x14ac:dyDescent="0.25">
      <c r="B306" s="5" t="s">
        <v>8</v>
      </c>
      <c r="C306" s="1"/>
      <c r="D306" s="1"/>
      <c r="E306" s="1"/>
      <c r="F306" s="5">
        <v>5.34</v>
      </c>
    </row>
    <row r="307" spans="2:6" ht="24.75" x14ac:dyDescent="0.25">
      <c r="B307" s="5" t="s">
        <v>11</v>
      </c>
      <c r="C307" s="1"/>
      <c r="D307" s="1"/>
      <c r="E307" s="1"/>
      <c r="F307" s="5">
        <v>0.55000000000000004</v>
      </c>
    </row>
    <row r="308" spans="2:6" ht="24.75" x14ac:dyDescent="0.25">
      <c r="B308" s="5" t="s">
        <v>12</v>
      </c>
      <c r="C308" s="1"/>
      <c r="D308" s="1"/>
      <c r="E308" s="1"/>
      <c r="F308" s="5">
        <v>0.53</v>
      </c>
    </row>
    <row r="309" spans="2:6" ht="24.75" x14ac:dyDescent="0.25">
      <c r="B309" s="5" t="s">
        <v>13</v>
      </c>
      <c r="C309" s="1"/>
      <c r="D309" s="1"/>
      <c r="E309" s="1"/>
      <c r="F309" s="5">
        <v>0.19</v>
      </c>
    </row>
    <row r="310" spans="2:6" ht="24.75" x14ac:dyDescent="0.25">
      <c r="B310" s="5" t="s">
        <v>14</v>
      </c>
      <c r="C310" s="1"/>
      <c r="D310" s="1"/>
      <c r="E310" s="1"/>
      <c r="F310" s="5">
        <v>1.25</v>
      </c>
    </row>
    <row r="311" spans="2:6" ht="24.75" x14ac:dyDescent="0.25">
      <c r="B311" s="5" t="s">
        <v>9</v>
      </c>
      <c r="C311" s="1"/>
      <c r="D311" s="1"/>
      <c r="E311" s="1"/>
      <c r="F311" s="5">
        <v>0.26</v>
      </c>
    </row>
    <row r="312" spans="2:6" ht="24.75" x14ac:dyDescent="0.25">
      <c r="B312" s="5" t="s">
        <v>15</v>
      </c>
      <c r="C312" s="1"/>
      <c r="D312" s="1"/>
      <c r="E312" s="1"/>
      <c r="F312" s="5">
        <v>0.27</v>
      </c>
    </row>
    <row r="313" spans="2:6" ht="24.75" x14ac:dyDescent="0.25">
      <c r="B313" s="5" t="s">
        <v>16</v>
      </c>
      <c r="C313" s="1"/>
      <c r="D313" s="1"/>
      <c r="E313" s="1"/>
      <c r="F313" s="5">
        <v>0.28999999999999998</v>
      </c>
    </row>
    <row r="314" spans="2:6" x14ac:dyDescent="0.25">
      <c r="B314" s="5" t="s">
        <v>17</v>
      </c>
      <c r="C314" s="1"/>
      <c r="D314" s="1"/>
      <c r="E314" s="1"/>
      <c r="F314" s="5">
        <v>0.32</v>
      </c>
    </row>
    <row r="315" spans="2:6" x14ac:dyDescent="0.25">
      <c r="B315" s="5" t="s">
        <v>18</v>
      </c>
      <c r="C315" s="1"/>
      <c r="D315" s="1"/>
      <c r="E315" s="1"/>
      <c r="F315" s="5">
        <v>1.97</v>
      </c>
    </row>
    <row r="316" spans="2:6" x14ac:dyDescent="0.25">
      <c r="B316" s="5" t="s">
        <v>19</v>
      </c>
      <c r="C316" s="1"/>
      <c r="D316" s="1"/>
      <c r="E316" s="1"/>
      <c r="F316" s="5">
        <v>3.51</v>
      </c>
    </row>
    <row r="317" spans="2:6" x14ac:dyDescent="0.25">
      <c r="B317" s="10" t="s">
        <v>20</v>
      </c>
      <c r="C317" s="1"/>
      <c r="D317" s="1"/>
      <c r="E317" s="1"/>
      <c r="F317" s="4">
        <f>SUM(F305:F316)</f>
        <v>16.489999999999998</v>
      </c>
    </row>
    <row r="318" spans="2:6" x14ac:dyDescent="0.25">
      <c r="B318" s="3" t="s">
        <v>21</v>
      </c>
      <c r="C318" s="1"/>
      <c r="D318" s="1"/>
      <c r="E318" s="1"/>
      <c r="F318" s="1"/>
    </row>
    <row r="319" spans="2:6" x14ac:dyDescent="0.25">
      <c r="B319" s="15" t="s">
        <v>252</v>
      </c>
      <c r="C319" s="1" t="s">
        <v>256</v>
      </c>
      <c r="D319" s="1">
        <v>1</v>
      </c>
      <c r="E319" s="1">
        <v>40</v>
      </c>
      <c r="F319" s="24">
        <f>E319/914.1*1000/12</f>
        <v>3.6465740436859568</v>
      </c>
    </row>
    <row r="320" spans="2:6" x14ac:dyDescent="0.25">
      <c r="B320" s="5" t="s">
        <v>266</v>
      </c>
      <c r="C320" s="1" t="s">
        <v>26</v>
      </c>
      <c r="D320" s="1">
        <v>14</v>
      </c>
      <c r="E320" s="1">
        <v>10</v>
      </c>
      <c r="F320" s="24">
        <f t="shared" ref="F320:F330" si="7">E320/914.1*1000/12</f>
        <v>0.91164351092148921</v>
      </c>
    </row>
    <row r="321" spans="2:6" x14ac:dyDescent="0.25">
      <c r="B321" s="1"/>
      <c r="C321" s="1"/>
      <c r="D321" s="1"/>
      <c r="E321" s="1"/>
      <c r="F321" s="24">
        <f t="shared" si="7"/>
        <v>0</v>
      </c>
    </row>
    <row r="322" spans="2:6" x14ac:dyDescent="0.25">
      <c r="B322" s="1"/>
      <c r="C322" s="1"/>
      <c r="D322" s="1"/>
      <c r="E322" s="1"/>
      <c r="F322" s="24">
        <f t="shared" si="7"/>
        <v>0</v>
      </c>
    </row>
    <row r="323" spans="2:6" x14ac:dyDescent="0.25">
      <c r="B323" s="1"/>
      <c r="C323" s="1"/>
      <c r="D323" s="1"/>
      <c r="E323" s="1"/>
      <c r="F323" s="24">
        <f t="shared" si="7"/>
        <v>0</v>
      </c>
    </row>
    <row r="324" spans="2:6" x14ac:dyDescent="0.25">
      <c r="B324" s="1"/>
      <c r="C324" s="1"/>
      <c r="D324" s="1"/>
      <c r="E324" s="1"/>
      <c r="F324" s="24">
        <f t="shared" si="7"/>
        <v>0</v>
      </c>
    </row>
    <row r="325" spans="2:6" x14ac:dyDescent="0.25">
      <c r="B325" s="1"/>
      <c r="C325" s="1"/>
      <c r="D325" s="1"/>
      <c r="E325" s="1"/>
      <c r="F325" s="24">
        <f t="shared" si="7"/>
        <v>0</v>
      </c>
    </row>
    <row r="326" spans="2:6" x14ac:dyDescent="0.25">
      <c r="B326" s="1"/>
      <c r="C326" s="1"/>
      <c r="D326" s="1"/>
      <c r="E326" s="1"/>
      <c r="F326" s="24">
        <f t="shared" si="7"/>
        <v>0</v>
      </c>
    </row>
    <row r="327" spans="2:6" x14ac:dyDescent="0.25">
      <c r="B327" s="1"/>
      <c r="C327" s="1"/>
      <c r="D327" s="1"/>
      <c r="E327" s="1"/>
      <c r="F327" s="24">
        <f t="shared" si="7"/>
        <v>0</v>
      </c>
    </row>
    <row r="328" spans="2:6" x14ac:dyDescent="0.25">
      <c r="B328" s="1"/>
      <c r="C328" s="1"/>
      <c r="D328" s="1"/>
      <c r="E328" s="1"/>
      <c r="F328" s="24">
        <f t="shared" si="7"/>
        <v>0</v>
      </c>
    </row>
    <row r="329" spans="2:6" x14ac:dyDescent="0.25">
      <c r="B329" s="1"/>
      <c r="C329" s="1"/>
      <c r="D329" s="1"/>
      <c r="E329" s="1"/>
      <c r="F329" s="24">
        <f t="shared" si="7"/>
        <v>0</v>
      </c>
    </row>
    <row r="330" spans="2:6" x14ac:dyDescent="0.25">
      <c r="B330" s="1"/>
      <c r="C330" s="1"/>
      <c r="D330" s="1"/>
      <c r="E330" s="1"/>
      <c r="F330" s="24">
        <f t="shared" si="7"/>
        <v>0</v>
      </c>
    </row>
    <row r="331" spans="2:6" x14ac:dyDescent="0.25">
      <c r="B331" s="10" t="s">
        <v>20</v>
      </c>
      <c r="C331" s="1"/>
      <c r="D331" s="1"/>
      <c r="E331" s="4">
        <f>SUM(E319:E330)</f>
        <v>50</v>
      </c>
      <c r="F331" s="22">
        <f>SUM(F319:F330)</f>
        <v>4.5582175546074462</v>
      </c>
    </row>
    <row r="332" spans="2:6" x14ac:dyDescent="0.25">
      <c r="B332" s="4" t="s">
        <v>22</v>
      </c>
      <c r="C332" s="6"/>
      <c r="D332" s="6"/>
      <c r="E332" s="6"/>
      <c r="F332" s="23">
        <f>F317+F331</f>
        <v>21.048217554607444</v>
      </c>
    </row>
    <row r="333" spans="2:6" x14ac:dyDescent="0.25">
      <c r="B333" s="7"/>
      <c r="C333" s="7"/>
      <c r="D333" s="7"/>
      <c r="E333" s="7"/>
      <c r="F333" s="7"/>
    </row>
    <row r="334" spans="2:6" x14ac:dyDescent="0.25">
      <c r="B334" s="18"/>
      <c r="C334" s="18"/>
      <c r="D334" s="18"/>
      <c r="E334" s="18"/>
      <c r="F334" s="18"/>
    </row>
    <row r="335" spans="2:6" x14ac:dyDescent="0.25">
      <c r="B335" s="18"/>
      <c r="C335" s="18"/>
      <c r="D335" s="18"/>
      <c r="E335" s="18"/>
      <c r="F335" s="18"/>
    </row>
    <row r="336" spans="2:6" x14ac:dyDescent="0.25">
      <c r="B336" s="39" t="s">
        <v>23</v>
      </c>
      <c r="C336" s="38"/>
      <c r="D336" s="38"/>
      <c r="E336" s="39" t="s">
        <v>24</v>
      </c>
      <c r="F336" s="38"/>
    </row>
    <row r="339" spans="2:6" ht="27" customHeight="1" x14ac:dyDescent="0.25">
      <c r="B339" s="37" t="s">
        <v>177</v>
      </c>
      <c r="C339" s="37"/>
      <c r="D339" s="37"/>
      <c r="E339" s="37"/>
      <c r="F339" s="37"/>
    </row>
    <row r="340" spans="2:6" ht="30" customHeight="1" x14ac:dyDescent="0.25">
      <c r="B340" s="37" t="s">
        <v>1</v>
      </c>
      <c r="C340" s="37"/>
      <c r="D340" s="37"/>
      <c r="E340" s="37"/>
      <c r="F340" s="37"/>
    </row>
    <row r="341" spans="2:6" x14ac:dyDescent="0.25">
      <c r="B341" s="16" t="s">
        <v>0</v>
      </c>
      <c r="C341" s="16"/>
      <c r="D341" s="16"/>
      <c r="E341" s="16"/>
      <c r="F341" s="16"/>
    </row>
    <row r="342" spans="2:6" x14ac:dyDescent="0.25">
      <c r="B342" s="17"/>
      <c r="C342" s="38" t="s">
        <v>25</v>
      </c>
      <c r="D342" s="38"/>
      <c r="E342" s="17">
        <v>918.2</v>
      </c>
      <c r="F342" s="17" t="s">
        <v>26</v>
      </c>
    </row>
    <row r="344" spans="2:6" ht="45" x14ac:dyDescent="0.25">
      <c r="B344" s="1" t="s">
        <v>2</v>
      </c>
      <c r="C344" s="1" t="s">
        <v>4</v>
      </c>
      <c r="D344" s="1" t="s">
        <v>3</v>
      </c>
      <c r="E344" s="1" t="s">
        <v>447</v>
      </c>
      <c r="F344" s="1" t="s">
        <v>5</v>
      </c>
    </row>
    <row r="345" spans="2:6" x14ac:dyDescent="0.25">
      <c r="B345" s="1"/>
      <c r="C345" s="1"/>
      <c r="D345" s="1"/>
      <c r="E345" s="1"/>
      <c r="F345" s="1"/>
    </row>
    <row r="346" spans="2:6" x14ac:dyDescent="0.25">
      <c r="B346" s="3" t="s">
        <v>6</v>
      </c>
      <c r="C346" s="1"/>
      <c r="D346" s="1"/>
      <c r="E346" s="1"/>
      <c r="F346" s="1"/>
    </row>
    <row r="347" spans="2:6" x14ac:dyDescent="0.25">
      <c r="B347" s="5" t="s">
        <v>7</v>
      </c>
      <c r="C347" s="1"/>
      <c r="D347" s="1"/>
      <c r="E347" s="1"/>
      <c r="F347" s="5">
        <v>2.0099999999999998</v>
      </c>
    </row>
    <row r="348" spans="2:6" x14ac:dyDescent="0.25">
      <c r="B348" s="5" t="s">
        <v>8</v>
      </c>
      <c r="C348" s="1"/>
      <c r="D348" s="1"/>
      <c r="E348" s="1"/>
      <c r="F348" s="5">
        <v>5.34</v>
      </c>
    </row>
    <row r="349" spans="2:6" ht="24.75" x14ac:dyDescent="0.25">
      <c r="B349" s="5" t="s">
        <v>11</v>
      </c>
      <c r="C349" s="1"/>
      <c r="D349" s="1"/>
      <c r="E349" s="1"/>
      <c r="F349" s="5">
        <v>0.55000000000000004</v>
      </c>
    </row>
    <row r="350" spans="2:6" ht="24.75" x14ac:dyDescent="0.25">
      <c r="B350" s="5" t="s">
        <v>12</v>
      </c>
      <c r="C350" s="1"/>
      <c r="D350" s="1"/>
      <c r="E350" s="1"/>
      <c r="F350" s="5">
        <v>0.53</v>
      </c>
    </row>
    <row r="351" spans="2:6" ht="24.75" x14ac:dyDescent="0.25">
      <c r="B351" s="5" t="s">
        <v>13</v>
      </c>
      <c r="C351" s="1"/>
      <c r="D351" s="1"/>
      <c r="E351" s="1"/>
      <c r="F351" s="5">
        <v>0.19</v>
      </c>
    </row>
    <row r="352" spans="2:6" ht="24.75" x14ac:dyDescent="0.25">
      <c r="B352" s="5" t="s">
        <v>14</v>
      </c>
      <c r="C352" s="1"/>
      <c r="D352" s="1"/>
      <c r="E352" s="1"/>
      <c r="F352" s="5">
        <v>1.25</v>
      </c>
    </row>
    <row r="353" spans="2:6" ht="24.75" x14ac:dyDescent="0.25">
      <c r="B353" s="5" t="s">
        <v>9</v>
      </c>
      <c r="C353" s="1"/>
      <c r="D353" s="1"/>
      <c r="E353" s="1"/>
      <c r="F353" s="5">
        <v>0.26</v>
      </c>
    </row>
    <row r="354" spans="2:6" ht="24.75" x14ac:dyDescent="0.25">
      <c r="B354" s="5" t="s">
        <v>15</v>
      </c>
      <c r="C354" s="1"/>
      <c r="D354" s="1"/>
      <c r="E354" s="1"/>
      <c r="F354" s="5">
        <v>0.27</v>
      </c>
    </row>
    <row r="355" spans="2:6" ht="24.75" x14ac:dyDescent="0.25">
      <c r="B355" s="5" t="s">
        <v>16</v>
      </c>
      <c r="C355" s="1"/>
      <c r="D355" s="1"/>
      <c r="E355" s="1"/>
      <c r="F355" s="5">
        <v>0.28999999999999998</v>
      </c>
    </row>
    <row r="356" spans="2:6" x14ac:dyDescent="0.25">
      <c r="B356" s="5" t="s">
        <v>17</v>
      </c>
      <c r="C356" s="1"/>
      <c r="D356" s="1"/>
      <c r="E356" s="1"/>
      <c r="F356" s="5">
        <v>0.32</v>
      </c>
    </row>
    <row r="357" spans="2:6" x14ac:dyDescent="0.25">
      <c r="B357" s="5" t="s">
        <v>18</v>
      </c>
      <c r="C357" s="1"/>
      <c r="D357" s="1"/>
      <c r="E357" s="1"/>
      <c r="F357" s="5">
        <v>1.97</v>
      </c>
    </row>
    <row r="358" spans="2:6" x14ac:dyDescent="0.25">
      <c r="B358" s="5" t="s">
        <v>19</v>
      </c>
      <c r="C358" s="1"/>
      <c r="D358" s="1"/>
      <c r="E358" s="1"/>
      <c r="F358" s="5">
        <v>3.51</v>
      </c>
    </row>
    <row r="359" spans="2:6" x14ac:dyDescent="0.25">
      <c r="B359" s="10" t="s">
        <v>20</v>
      </c>
      <c r="C359" s="1"/>
      <c r="D359" s="1"/>
      <c r="E359" s="1"/>
      <c r="F359" s="4">
        <f>SUM(F347:F358)</f>
        <v>16.489999999999998</v>
      </c>
    </row>
    <row r="360" spans="2:6" x14ac:dyDescent="0.25">
      <c r="B360" s="3" t="s">
        <v>21</v>
      </c>
      <c r="C360" s="1"/>
      <c r="D360" s="1"/>
      <c r="E360" s="1"/>
      <c r="F360" s="1"/>
    </row>
    <row r="361" spans="2:6" x14ac:dyDescent="0.25">
      <c r="B361" s="15" t="s">
        <v>252</v>
      </c>
      <c r="C361" s="1" t="s">
        <v>256</v>
      </c>
      <c r="D361" s="1">
        <v>2</v>
      </c>
      <c r="E361" s="1">
        <v>80</v>
      </c>
      <c r="F361" s="24">
        <f>E361/918.2*1000/12</f>
        <v>7.2605822987003554</v>
      </c>
    </row>
    <row r="362" spans="2:6" x14ac:dyDescent="0.25">
      <c r="B362" s="15" t="s">
        <v>253</v>
      </c>
      <c r="C362" s="1" t="s">
        <v>26</v>
      </c>
      <c r="D362" s="1">
        <v>120</v>
      </c>
      <c r="E362" s="1">
        <v>84</v>
      </c>
      <c r="F362" s="24">
        <f t="shared" ref="F362:F372" si="8">E362/918.2*1000/12</f>
        <v>7.6236114136353734</v>
      </c>
    </row>
    <row r="363" spans="2:6" x14ac:dyDescent="0.25">
      <c r="B363" s="15" t="s">
        <v>254</v>
      </c>
      <c r="C363" s="1" t="s">
        <v>26</v>
      </c>
      <c r="D363" s="1">
        <v>60</v>
      </c>
      <c r="E363" s="1">
        <v>36</v>
      </c>
      <c r="F363" s="24">
        <f t="shared" si="8"/>
        <v>3.2672620344151597</v>
      </c>
    </row>
    <row r="364" spans="2:6" x14ac:dyDescent="0.25">
      <c r="B364" s="15" t="s">
        <v>257</v>
      </c>
      <c r="C364" s="1" t="s">
        <v>26</v>
      </c>
      <c r="D364" s="1">
        <v>30</v>
      </c>
      <c r="E364" s="1">
        <v>36</v>
      </c>
      <c r="F364" s="24">
        <f t="shared" si="8"/>
        <v>3.2672620344151597</v>
      </c>
    </row>
    <row r="365" spans="2:6" x14ac:dyDescent="0.25">
      <c r="B365" s="26" t="s">
        <v>316</v>
      </c>
      <c r="C365" s="1" t="s">
        <v>261</v>
      </c>
      <c r="D365" s="1">
        <v>26</v>
      </c>
      <c r="E365" s="1">
        <v>31</v>
      </c>
      <c r="F365" s="24">
        <f t="shared" si="8"/>
        <v>2.8134756407463875</v>
      </c>
    </row>
    <row r="366" spans="2:6" x14ac:dyDescent="0.25">
      <c r="B366" s="1"/>
      <c r="C366" s="1"/>
      <c r="D366" s="1"/>
      <c r="E366" s="1"/>
      <c r="F366" s="24">
        <f t="shared" si="8"/>
        <v>0</v>
      </c>
    </row>
    <row r="367" spans="2:6" x14ac:dyDescent="0.25">
      <c r="B367" s="1"/>
      <c r="C367" s="1"/>
      <c r="D367" s="1"/>
      <c r="E367" s="1"/>
      <c r="F367" s="24">
        <f t="shared" si="8"/>
        <v>0</v>
      </c>
    </row>
    <row r="368" spans="2:6" x14ac:dyDescent="0.25">
      <c r="B368" s="1"/>
      <c r="C368" s="1"/>
      <c r="D368" s="1"/>
      <c r="E368" s="1"/>
      <c r="F368" s="24">
        <f t="shared" si="8"/>
        <v>0</v>
      </c>
    </row>
    <row r="369" spans="2:6" x14ac:dyDescent="0.25">
      <c r="B369" s="1"/>
      <c r="C369" s="1"/>
      <c r="D369" s="1"/>
      <c r="E369" s="1"/>
      <c r="F369" s="24">
        <f t="shared" si="8"/>
        <v>0</v>
      </c>
    </row>
    <row r="370" spans="2:6" x14ac:dyDescent="0.25">
      <c r="B370" s="1"/>
      <c r="C370" s="1"/>
      <c r="D370" s="1"/>
      <c r="E370" s="1"/>
      <c r="F370" s="24">
        <f t="shared" si="8"/>
        <v>0</v>
      </c>
    </row>
    <row r="371" spans="2:6" x14ac:dyDescent="0.25">
      <c r="B371" s="1"/>
      <c r="C371" s="1"/>
      <c r="D371" s="1"/>
      <c r="E371" s="1"/>
      <c r="F371" s="24">
        <f t="shared" si="8"/>
        <v>0</v>
      </c>
    </row>
    <row r="372" spans="2:6" x14ac:dyDescent="0.25">
      <c r="B372" s="1"/>
      <c r="C372" s="1"/>
      <c r="D372" s="1"/>
      <c r="E372" s="1"/>
      <c r="F372" s="24">
        <f t="shared" si="8"/>
        <v>0</v>
      </c>
    </row>
    <row r="373" spans="2:6" x14ac:dyDescent="0.25">
      <c r="B373" s="10" t="s">
        <v>20</v>
      </c>
      <c r="C373" s="1"/>
      <c r="D373" s="1"/>
      <c r="E373" s="4">
        <f>SUM(E361:E372)</f>
        <v>267</v>
      </c>
      <c r="F373" s="22">
        <f>SUM(F361:F372)</f>
        <v>24.232193421912438</v>
      </c>
    </row>
    <row r="374" spans="2:6" x14ac:dyDescent="0.25">
      <c r="B374" s="4" t="s">
        <v>22</v>
      </c>
      <c r="C374" s="6"/>
      <c r="D374" s="6"/>
      <c r="E374" s="6"/>
      <c r="F374" s="23">
        <f>F359+F373</f>
        <v>40.722193421912436</v>
      </c>
    </row>
    <row r="375" spans="2:6" x14ac:dyDescent="0.25">
      <c r="B375" s="7"/>
      <c r="C375" s="7"/>
      <c r="D375" s="7"/>
      <c r="E375" s="7"/>
      <c r="F375" s="7"/>
    </row>
    <row r="376" spans="2:6" x14ac:dyDescent="0.25">
      <c r="B376" s="18"/>
      <c r="C376" s="18"/>
      <c r="D376" s="18"/>
      <c r="E376" s="18"/>
      <c r="F376" s="18"/>
    </row>
    <row r="377" spans="2:6" x14ac:dyDescent="0.25">
      <c r="B377" s="18"/>
      <c r="C377" s="18"/>
      <c r="D377" s="18"/>
      <c r="E377" s="18"/>
      <c r="F377" s="18"/>
    </row>
    <row r="378" spans="2:6" x14ac:dyDescent="0.25">
      <c r="B378" s="39" t="s">
        <v>23</v>
      </c>
      <c r="C378" s="38"/>
      <c r="D378" s="38"/>
      <c r="E378" s="39" t="s">
        <v>24</v>
      </c>
      <c r="F378" s="38"/>
    </row>
    <row r="381" spans="2:6" ht="36" customHeight="1" x14ac:dyDescent="0.25">
      <c r="B381" s="37" t="s">
        <v>178</v>
      </c>
      <c r="C381" s="37"/>
      <c r="D381" s="37"/>
      <c r="E381" s="37"/>
      <c r="F381" s="37"/>
    </row>
    <row r="382" spans="2:6" ht="28.15" customHeight="1" x14ac:dyDescent="0.25">
      <c r="B382" s="37" t="s">
        <v>1</v>
      </c>
      <c r="C382" s="37"/>
      <c r="D382" s="37"/>
      <c r="E382" s="37"/>
      <c r="F382" s="37"/>
    </row>
    <row r="383" spans="2:6" x14ac:dyDescent="0.25">
      <c r="B383" s="16" t="s">
        <v>0</v>
      </c>
      <c r="C383" s="16"/>
      <c r="D383" s="16"/>
      <c r="E383" s="16"/>
      <c r="F383" s="16"/>
    </row>
    <row r="384" spans="2:6" x14ac:dyDescent="0.25">
      <c r="B384" s="17"/>
      <c r="C384" s="38" t="s">
        <v>25</v>
      </c>
      <c r="D384" s="38"/>
      <c r="E384" s="17">
        <v>782.5</v>
      </c>
      <c r="F384" s="17" t="s">
        <v>26</v>
      </c>
    </row>
    <row r="386" spans="2:6" ht="45" x14ac:dyDescent="0.25">
      <c r="B386" s="1" t="s">
        <v>2</v>
      </c>
      <c r="C386" s="1" t="s">
        <v>4</v>
      </c>
      <c r="D386" s="1" t="s">
        <v>3</v>
      </c>
      <c r="E386" s="1" t="s">
        <v>447</v>
      </c>
      <c r="F386" s="1" t="s">
        <v>5</v>
      </c>
    </row>
    <row r="387" spans="2:6" x14ac:dyDescent="0.25">
      <c r="B387" s="1"/>
      <c r="C387" s="1"/>
      <c r="D387" s="1"/>
      <c r="E387" s="1"/>
      <c r="F387" s="1"/>
    </row>
    <row r="388" spans="2:6" x14ac:dyDescent="0.25">
      <c r="B388" s="3" t="s">
        <v>6</v>
      </c>
      <c r="C388" s="1"/>
      <c r="D388" s="1"/>
      <c r="E388" s="1"/>
      <c r="F388" s="1"/>
    </row>
    <row r="389" spans="2:6" x14ac:dyDescent="0.25">
      <c r="B389" s="5" t="s">
        <v>7</v>
      </c>
      <c r="C389" s="1"/>
      <c r="D389" s="1"/>
      <c r="E389" s="1"/>
      <c r="F389" s="5">
        <v>2.0099999999999998</v>
      </c>
    </row>
    <row r="390" spans="2:6" x14ac:dyDescent="0.25">
      <c r="B390" s="5" t="s">
        <v>8</v>
      </c>
      <c r="C390" s="1"/>
      <c r="D390" s="1"/>
      <c r="E390" s="1"/>
      <c r="F390" s="5">
        <v>5.34</v>
      </c>
    </row>
    <row r="391" spans="2:6" x14ac:dyDescent="0.25">
      <c r="B391" s="15" t="s">
        <v>30</v>
      </c>
      <c r="C391" s="1"/>
      <c r="D391" s="1"/>
      <c r="E391" s="1"/>
      <c r="F391" s="5">
        <v>0.06</v>
      </c>
    </row>
    <row r="392" spans="2:6" ht="24.75" x14ac:dyDescent="0.25">
      <c r="B392" s="5" t="s">
        <v>11</v>
      </c>
      <c r="C392" s="1"/>
      <c r="D392" s="1"/>
      <c r="E392" s="1"/>
      <c r="F392" s="5">
        <v>0.55000000000000004</v>
      </c>
    </row>
    <row r="393" spans="2:6" ht="24.75" x14ac:dyDescent="0.25">
      <c r="B393" s="5" t="s">
        <v>12</v>
      </c>
      <c r="C393" s="1"/>
      <c r="D393" s="1"/>
      <c r="E393" s="1"/>
      <c r="F393" s="5">
        <v>0.53</v>
      </c>
    </row>
    <row r="394" spans="2:6" ht="24.75" x14ac:dyDescent="0.25">
      <c r="B394" s="5" t="s">
        <v>13</v>
      </c>
      <c r="C394" s="1"/>
      <c r="D394" s="1"/>
      <c r="E394" s="1"/>
      <c r="F394" s="5">
        <v>0.19</v>
      </c>
    </row>
    <row r="395" spans="2:6" ht="24.75" x14ac:dyDescent="0.25">
      <c r="B395" s="5" t="s">
        <v>14</v>
      </c>
      <c r="C395" s="1"/>
      <c r="D395" s="1"/>
      <c r="E395" s="1"/>
      <c r="F395" s="5">
        <v>1.25</v>
      </c>
    </row>
    <row r="396" spans="2:6" ht="24.75" x14ac:dyDescent="0.25">
      <c r="B396" s="5" t="s">
        <v>9</v>
      </c>
      <c r="C396" s="1"/>
      <c r="D396" s="1"/>
      <c r="E396" s="1"/>
      <c r="F396" s="5">
        <v>0.26</v>
      </c>
    </row>
    <row r="397" spans="2:6" ht="24.75" x14ac:dyDescent="0.25">
      <c r="B397" s="5" t="s">
        <v>15</v>
      </c>
      <c r="C397" s="1"/>
      <c r="D397" s="1"/>
      <c r="E397" s="1"/>
      <c r="F397" s="5">
        <v>0.27</v>
      </c>
    </row>
    <row r="398" spans="2:6" ht="24.75" x14ac:dyDescent="0.25">
      <c r="B398" s="5" t="s">
        <v>16</v>
      </c>
      <c r="C398" s="1"/>
      <c r="D398" s="1"/>
      <c r="E398" s="1"/>
      <c r="F398" s="5">
        <v>0.28999999999999998</v>
      </c>
    </row>
    <row r="399" spans="2:6" x14ac:dyDescent="0.25">
      <c r="B399" s="5" t="s">
        <v>17</v>
      </c>
      <c r="C399" s="1"/>
      <c r="D399" s="1"/>
      <c r="E399" s="1"/>
      <c r="F399" s="5">
        <v>0.32</v>
      </c>
    </row>
    <row r="400" spans="2:6" x14ac:dyDescent="0.25">
      <c r="B400" s="5" t="s">
        <v>18</v>
      </c>
      <c r="C400" s="1"/>
      <c r="D400" s="1"/>
      <c r="E400" s="1"/>
      <c r="F400" s="5">
        <v>1.97</v>
      </c>
    </row>
    <row r="401" spans="2:6" x14ac:dyDescent="0.25">
      <c r="B401" s="5" t="s">
        <v>19</v>
      </c>
      <c r="C401" s="1"/>
      <c r="D401" s="1"/>
      <c r="E401" s="1"/>
      <c r="F401" s="5">
        <v>3.51</v>
      </c>
    </row>
    <row r="402" spans="2:6" x14ac:dyDescent="0.25">
      <c r="B402" s="10" t="s">
        <v>20</v>
      </c>
      <c r="C402" s="1"/>
      <c r="D402" s="1"/>
      <c r="E402" s="1"/>
      <c r="F402" s="4">
        <f>SUM(F389:F401)</f>
        <v>16.549999999999997</v>
      </c>
    </row>
    <row r="403" spans="2:6" x14ac:dyDescent="0.25">
      <c r="B403" s="3" t="s">
        <v>21</v>
      </c>
      <c r="C403" s="1"/>
      <c r="D403" s="1"/>
      <c r="E403" s="1"/>
      <c r="F403" s="1"/>
    </row>
    <row r="404" spans="2:6" x14ac:dyDescent="0.25">
      <c r="B404" s="15" t="s">
        <v>252</v>
      </c>
      <c r="C404" s="1" t="s">
        <v>256</v>
      </c>
      <c r="D404" s="1">
        <v>1</v>
      </c>
      <c r="E404" s="1">
        <v>45</v>
      </c>
      <c r="F404" s="24">
        <f>E404/782.5*1000/12</f>
        <v>4.7923322683706067</v>
      </c>
    </row>
    <row r="405" spans="2:6" x14ac:dyDescent="0.25">
      <c r="B405" s="15" t="s">
        <v>267</v>
      </c>
      <c r="C405" s="1" t="s">
        <v>265</v>
      </c>
      <c r="D405" s="1">
        <v>1</v>
      </c>
      <c r="E405" s="1">
        <v>15</v>
      </c>
      <c r="F405" s="24">
        <f t="shared" ref="F405:F415" si="9">E405/782.5*1000/12</f>
        <v>1.5974440894568689</v>
      </c>
    </row>
    <row r="406" spans="2:6" x14ac:dyDescent="0.25">
      <c r="B406" s="15" t="s">
        <v>254</v>
      </c>
      <c r="C406" s="1" t="s">
        <v>26</v>
      </c>
      <c r="D406" s="1">
        <v>40</v>
      </c>
      <c r="E406" s="1">
        <v>24</v>
      </c>
      <c r="F406" s="24">
        <f t="shared" si="9"/>
        <v>2.5559105431309903</v>
      </c>
    </row>
    <row r="407" spans="2:6" x14ac:dyDescent="0.25">
      <c r="B407" s="15" t="s">
        <v>260</v>
      </c>
      <c r="C407" s="1" t="s">
        <v>256</v>
      </c>
      <c r="D407" s="1">
        <v>1</v>
      </c>
      <c r="E407" s="1">
        <v>70</v>
      </c>
      <c r="F407" s="24">
        <f t="shared" si="9"/>
        <v>7.4547390841320551</v>
      </c>
    </row>
    <row r="408" spans="2:6" x14ac:dyDescent="0.25">
      <c r="B408" s="26" t="s">
        <v>316</v>
      </c>
      <c r="C408" s="1" t="s">
        <v>261</v>
      </c>
      <c r="D408" s="1">
        <v>30</v>
      </c>
      <c r="E408" s="1">
        <v>36</v>
      </c>
      <c r="F408" s="24">
        <f t="shared" si="9"/>
        <v>3.8338658146964857</v>
      </c>
    </row>
    <row r="409" spans="2:6" x14ac:dyDescent="0.25">
      <c r="B409" s="1"/>
      <c r="C409" s="1"/>
      <c r="D409" s="1"/>
      <c r="E409" s="1"/>
      <c r="F409" s="24">
        <f t="shared" si="9"/>
        <v>0</v>
      </c>
    </row>
    <row r="410" spans="2:6" x14ac:dyDescent="0.25">
      <c r="B410" s="1"/>
      <c r="C410" s="1"/>
      <c r="D410" s="1"/>
      <c r="E410" s="1"/>
      <c r="F410" s="24">
        <f t="shared" si="9"/>
        <v>0</v>
      </c>
    </row>
    <row r="411" spans="2:6" x14ac:dyDescent="0.25">
      <c r="B411" s="1"/>
      <c r="C411" s="1"/>
      <c r="D411" s="1"/>
      <c r="E411" s="1"/>
      <c r="F411" s="24">
        <f t="shared" si="9"/>
        <v>0</v>
      </c>
    </row>
    <row r="412" spans="2:6" x14ac:dyDescent="0.25">
      <c r="B412" s="1"/>
      <c r="C412" s="1"/>
      <c r="D412" s="1"/>
      <c r="E412" s="1"/>
      <c r="F412" s="24">
        <f t="shared" si="9"/>
        <v>0</v>
      </c>
    </row>
    <row r="413" spans="2:6" x14ac:dyDescent="0.25">
      <c r="B413" s="1"/>
      <c r="C413" s="1"/>
      <c r="D413" s="1"/>
      <c r="E413" s="1"/>
      <c r="F413" s="24">
        <f t="shared" si="9"/>
        <v>0</v>
      </c>
    </row>
    <row r="414" spans="2:6" x14ac:dyDescent="0.25">
      <c r="B414" s="1"/>
      <c r="C414" s="1"/>
      <c r="D414" s="1"/>
      <c r="E414" s="1"/>
      <c r="F414" s="24">
        <f t="shared" si="9"/>
        <v>0</v>
      </c>
    </row>
    <row r="415" spans="2:6" x14ac:dyDescent="0.25">
      <c r="B415" s="1"/>
      <c r="C415" s="1"/>
      <c r="D415" s="1"/>
      <c r="E415" s="1"/>
      <c r="F415" s="24">
        <f t="shared" si="9"/>
        <v>0</v>
      </c>
    </row>
    <row r="416" spans="2:6" x14ac:dyDescent="0.25">
      <c r="B416" s="10" t="s">
        <v>20</v>
      </c>
      <c r="C416" s="1"/>
      <c r="D416" s="1"/>
      <c r="E416" s="4">
        <f>SUM(E404:E415)</f>
        <v>190</v>
      </c>
      <c r="F416" s="22">
        <f>SUM(F404:F415)</f>
        <v>20.234291799787009</v>
      </c>
    </row>
    <row r="417" spans="2:6" x14ac:dyDescent="0.25">
      <c r="B417" s="4" t="s">
        <v>22</v>
      </c>
      <c r="C417" s="6"/>
      <c r="D417" s="6"/>
      <c r="E417" s="6"/>
      <c r="F417" s="23">
        <f>F402+F416</f>
        <v>36.784291799787006</v>
      </c>
    </row>
    <row r="418" spans="2:6" x14ac:dyDescent="0.25">
      <c r="B418" s="7"/>
      <c r="C418" s="7"/>
      <c r="D418" s="7"/>
      <c r="E418" s="7"/>
      <c r="F418" s="7"/>
    </row>
    <row r="419" spans="2:6" x14ac:dyDescent="0.25">
      <c r="B419" s="18"/>
      <c r="C419" s="18"/>
      <c r="D419" s="18"/>
      <c r="E419" s="18"/>
      <c r="F419" s="18"/>
    </row>
    <row r="420" spans="2:6" x14ac:dyDescent="0.25">
      <c r="B420" s="18"/>
      <c r="C420" s="18"/>
      <c r="D420" s="18"/>
      <c r="E420" s="18"/>
      <c r="F420" s="18"/>
    </row>
    <row r="421" spans="2:6" x14ac:dyDescent="0.25">
      <c r="B421" s="39" t="s">
        <v>23</v>
      </c>
      <c r="C421" s="38"/>
      <c r="D421" s="38"/>
      <c r="E421" s="39" t="s">
        <v>24</v>
      </c>
      <c r="F421" s="38"/>
    </row>
    <row r="423" spans="2:6" ht="33.6" customHeight="1" x14ac:dyDescent="0.25">
      <c r="B423" s="37" t="s">
        <v>179</v>
      </c>
      <c r="C423" s="37"/>
      <c r="D423" s="37"/>
      <c r="E423" s="37"/>
      <c r="F423" s="37"/>
    </row>
    <row r="424" spans="2:6" ht="29.45" customHeight="1" x14ac:dyDescent="0.25">
      <c r="B424" s="37" t="s">
        <v>1</v>
      </c>
      <c r="C424" s="37"/>
      <c r="D424" s="37"/>
      <c r="E424" s="37"/>
      <c r="F424" s="37"/>
    </row>
    <row r="425" spans="2:6" x14ac:dyDescent="0.25">
      <c r="B425" s="16" t="s">
        <v>0</v>
      </c>
      <c r="C425" s="16"/>
      <c r="D425" s="16"/>
      <c r="E425" s="16"/>
      <c r="F425" s="16"/>
    </row>
    <row r="426" spans="2:6" x14ac:dyDescent="0.25">
      <c r="B426" s="17"/>
      <c r="C426" s="38" t="s">
        <v>25</v>
      </c>
      <c r="D426" s="38"/>
      <c r="E426" s="17">
        <v>923.6</v>
      </c>
      <c r="F426" s="17" t="s">
        <v>26</v>
      </c>
    </row>
    <row r="428" spans="2:6" ht="45" x14ac:dyDescent="0.25">
      <c r="B428" s="1" t="s">
        <v>2</v>
      </c>
      <c r="C428" s="1" t="s">
        <v>4</v>
      </c>
      <c r="D428" s="1" t="s">
        <v>3</v>
      </c>
      <c r="E428" s="1" t="s">
        <v>447</v>
      </c>
      <c r="F428" s="1" t="s">
        <v>5</v>
      </c>
    </row>
    <row r="429" spans="2:6" x14ac:dyDescent="0.25">
      <c r="B429" s="1"/>
      <c r="C429" s="1"/>
      <c r="D429" s="1"/>
      <c r="E429" s="1"/>
      <c r="F429" s="1"/>
    </row>
    <row r="430" spans="2:6" x14ac:dyDescent="0.25">
      <c r="B430" s="3" t="s">
        <v>6</v>
      </c>
      <c r="C430" s="1"/>
      <c r="D430" s="1"/>
      <c r="E430" s="1"/>
      <c r="F430" s="1"/>
    </row>
    <row r="431" spans="2:6" x14ac:dyDescent="0.25">
      <c r="B431" s="5" t="s">
        <v>7</v>
      </c>
      <c r="C431" s="1"/>
      <c r="D431" s="1"/>
      <c r="E431" s="1"/>
      <c r="F431" s="5">
        <v>2.0099999999999998</v>
      </c>
    </row>
    <row r="432" spans="2:6" x14ac:dyDescent="0.25">
      <c r="B432" s="5" t="s">
        <v>8</v>
      </c>
      <c r="C432" s="1"/>
      <c r="D432" s="1"/>
      <c r="E432" s="1"/>
      <c r="F432" s="5">
        <v>5.34</v>
      </c>
    </row>
    <row r="433" spans="2:6" ht="24.75" x14ac:dyDescent="0.25">
      <c r="B433" s="5" t="s">
        <v>11</v>
      </c>
      <c r="C433" s="1"/>
      <c r="D433" s="1"/>
      <c r="E433" s="1"/>
      <c r="F433" s="5">
        <v>0.55000000000000004</v>
      </c>
    </row>
    <row r="434" spans="2:6" ht="24.75" x14ac:dyDescent="0.25">
      <c r="B434" s="5" t="s">
        <v>12</v>
      </c>
      <c r="C434" s="1"/>
      <c r="D434" s="1"/>
      <c r="E434" s="1"/>
      <c r="F434" s="5">
        <v>0.53</v>
      </c>
    </row>
    <row r="435" spans="2:6" ht="24.75" x14ac:dyDescent="0.25">
      <c r="B435" s="5" t="s">
        <v>13</v>
      </c>
      <c r="C435" s="1"/>
      <c r="D435" s="1"/>
      <c r="E435" s="1"/>
      <c r="F435" s="5">
        <v>0.19</v>
      </c>
    </row>
    <row r="436" spans="2:6" ht="24.75" x14ac:dyDescent="0.25">
      <c r="B436" s="5" t="s">
        <v>14</v>
      </c>
      <c r="C436" s="1"/>
      <c r="D436" s="1"/>
      <c r="E436" s="1"/>
      <c r="F436" s="5">
        <v>1.25</v>
      </c>
    </row>
    <row r="437" spans="2:6" ht="24.75" x14ac:dyDescent="0.25">
      <c r="B437" s="5" t="s">
        <v>9</v>
      </c>
      <c r="C437" s="1"/>
      <c r="D437" s="1"/>
      <c r="E437" s="1"/>
      <c r="F437" s="5">
        <v>0.26</v>
      </c>
    </row>
    <row r="438" spans="2:6" ht="24.75" x14ac:dyDescent="0.25">
      <c r="B438" s="5" t="s">
        <v>15</v>
      </c>
      <c r="C438" s="1"/>
      <c r="D438" s="1"/>
      <c r="E438" s="1"/>
      <c r="F438" s="5">
        <v>0.27</v>
      </c>
    </row>
    <row r="439" spans="2:6" ht="24.75" x14ac:dyDescent="0.25">
      <c r="B439" s="5" t="s">
        <v>16</v>
      </c>
      <c r="C439" s="1"/>
      <c r="D439" s="1"/>
      <c r="E439" s="1"/>
      <c r="F439" s="5">
        <v>0.28999999999999998</v>
      </c>
    </row>
    <row r="440" spans="2:6" x14ac:dyDescent="0.25">
      <c r="B440" s="5" t="s">
        <v>17</v>
      </c>
      <c r="C440" s="1"/>
      <c r="D440" s="1"/>
      <c r="E440" s="1"/>
      <c r="F440" s="5">
        <v>0.32</v>
      </c>
    </row>
    <row r="441" spans="2:6" x14ac:dyDescent="0.25">
      <c r="B441" s="5" t="s">
        <v>18</v>
      </c>
      <c r="C441" s="1"/>
      <c r="D441" s="1"/>
      <c r="E441" s="1"/>
      <c r="F441" s="5">
        <v>1.97</v>
      </c>
    </row>
    <row r="442" spans="2:6" x14ac:dyDescent="0.25">
      <c r="B442" s="5" t="s">
        <v>19</v>
      </c>
      <c r="C442" s="1"/>
      <c r="D442" s="1"/>
      <c r="E442" s="1"/>
      <c r="F442" s="5">
        <v>3.51</v>
      </c>
    </row>
    <row r="443" spans="2:6" x14ac:dyDescent="0.25">
      <c r="B443" s="10" t="s">
        <v>20</v>
      </c>
      <c r="C443" s="1"/>
      <c r="D443" s="1"/>
      <c r="E443" s="1"/>
      <c r="F443" s="4">
        <f>SUM(F431:F442)</f>
        <v>16.489999999999998</v>
      </c>
    </row>
    <row r="444" spans="2:6" x14ac:dyDescent="0.25">
      <c r="B444" s="3" t="s">
        <v>21</v>
      </c>
      <c r="C444" s="1"/>
      <c r="D444" s="1"/>
      <c r="E444" s="1"/>
      <c r="F444" s="1"/>
    </row>
    <row r="445" spans="2:6" x14ac:dyDescent="0.25">
      <c r="B445" s="15" t="s">
        <v>252</v>
      </c>
      <c r="C445" s="1" t="s">
        <v>256</v>
      </c>
      <c r="D445" s="1">
        <v>2</v>
      </c>
      <c r="E445" s="1">
        <v>80</v>
      </c>
      <c r="F445" s="24">
        <f>E445/923.6*1000/12</f>
        <v>7.2181319474519983</v>
      </c>
    </row>
    <row r="446" spans="2:6" x14ac:dyDescent="0.25">
      <c r="B446" s="15" t="s">
        <v>268</v>
      </c>
      <c r="C446" s="1" t="s">
        <v>26</v>
      </c>
      <c r="D446" s="1">
        <v>90</v>
      </c>
      <c r="E446" s="1">
        <v>54</v>
      </c>
      <c r="F446" s="24">
        <f t="shared" ref="F446:F456" si="10">E446/923.6*1000/12</f>
        <v>4.872239064530099</v>
      </c>
    </row>
    <row r="447" spans="2:6" x14ac:dyDescent="0.25">
      <c r="B447" s="15" t="s">
        <v>255</v>
      </c>
      <c r="C447" s="1" t="s">
        <v>26</v>
      </c>
      <c r="D447" s="1">
        <v>2.2000000000000002</v>
      </c>
      <c r="E447" s="1">
        <v>2.64</v>
      </c>
      <c r="F447" s="24">
        <f t="shared" si="10"/>
        <v>0.23819835426591598</v>
      </c>
    </row>
    <row r="448" spans="2:6" x14ac:dyDescent="0.25">
      <c r="B448" s="26" t="s">
        <v>316</v>
      </c>
      <c r="C448" s="1" t="s">
        <v>261</v>
      </c>
      <c r="D448" s="1">
        <v>30</v>
      </c>
      <c r="E448" s="1">
        <v>36</v>
      </c>
      <c r="F448" s="24">
        <f t="shared" si="10"/>
        <v>3.2481593763533998</v>
      </c>
    </row>
    <row r="449" spans="2:6" x14ac:dyDescent="0.25">
      <c r="B449" s="1"/>
      <c r="C449" s="1"/>
      <c r="D449" s="1"/>
      <c r="E449" s="1"/>
      <c r="F449" s="24">
        <f t="shared" si="10"/>
        <v>0</v>
      </c>
    </row>
    <row r="450" spans="2:6" x14ac:dyDescent="0.25">
      <c r="B450" s="1"/>
      <c r="C450" s="1"/>
      <c r="D450" s="1"/>
      <c r="E450" s="1"/>
      <c r="F450" s="24">
        <f t="shared" si="10"/>
        <v>0</v>
      </c>
    </row>
    <row r="451" spans="2:6" x14ac:dyDescent="0.25">
      <c r="B451" s="1"/>
      <c r="C451" s="1"/>
      <c r="D451" s="1"/>
      <c r="E451" s="1"/>
      <c r="F451" s="24">
        <f t="shared" si="10"/>
        <v>0</v>
      </c>
    </row>
    <row r="452" spans="2:6" x14ac:dyDescent="0.25">
      <c r="B452" s="1"/>
      <c r="C452" s="1"/>
      <c r="D452" s="1"/>
      <c r="E452" s="1"/>
      <c r="F452" s="24">
        <f t="shared" si="10"/>
        <v>0</v>
      </c>
    </row>
    <row r="453" spans="2:6" x14ac:dyDescent="0.25">
      <c r="B453" s="1"/>
      <c r="C453" s="1"/>
      <c r="D453" s="1"/>
      <c r="E453" s="1"/>
      <c r="F453" s="24">
        <f t="shared" si="10"/>
        <v>0</v>
      </c>
    </row>
    <row r="454" spans="2:6" x14ac:dyDescent="0.25">
      <c r="B454" s="1"/>
      <c r="C454" s="1"/>
      <c r="D454" s="1"/>
      <c r="E454" s="1"/>
      <c r="F454" s="24">
        <f t="shared" si="10"/>
        <v>0</v>
      </c>
    </row>
    <row r="455" spans="2:6" x14ac:dyDescent="0.25">
      <c r="B455" s="1"/>
      <c r="C455" s="1"/>
      <c r="D455" s="1"/>
      <c r="E455" s="1"/>
      <c r="F455" s="24">
        <f t="shared" si="10"/>
        <v>0</v>
      </c>
    </row>
    <row r="456" spans="2:6" x14ac:dyDescent="0.25">
      <c r="B456" s="1"/>
      <c r="C456" s="1"/>
      <c r="D456" s="1"/>
      <c r="E456" s="1"/>
      <c r="F456" s="24">
        <f t="shared" si="10"/>
        <v>0</v>
      </c>
    </row>
    <row r="457" spans="2:6" x14ac:dyDescent="0.25">
      <c r="B457" s="10" t="s">
        <v>20</v>
      </c>
      <c r="C457" s="1"/>
      <c r="D457" s="1"/>
      <c r="E457" s="4">
        <f>SUM(E445:E456)</f>
        <v>172.64</v>
      </c>
      <c r="F457" s="22">
        <f>SUM(F445:F456)</f>
        <v>15.576728742601412</v>
      </c>
    </row>
    <row r="458" spans="2:6" x14ac:dyDescent="0.25">
      <c r="B458" s="4" t="s">
        <v>22</v>
      </c>
      <c r="C458" s="6"/>
      <c r="D458" s="6"/>
      <c r="E458" s="6"/>
      <c r="F458" s="23">
        <f>F443+F457</f>
        <v>32.066728742601413</v>
      </c>
    </row>
    <row r="459" spans="2:6" x14ac:dyDescent="0.25">
      <c r="B459" s="7"/>
      <c r="C459" s="7"/>
      <c r="D459" s="7"/>
      <c r="E459" s="7"/>
      <c r="F459" s="7"/>
    </row>
    <row r="460" spans="2:6" x14ac:dyDescent="0.25">
      <c r="B460" s="18"/>
      <c r="C460" s="18"/>
      <c r="D460" s="18"/>
      <c r="E460" s="18"/>
      <c r="F460" s="18"/>
    </row>
    <row r="461" spans="2:6" x14ac:dyDescent="0.25">
      <c r="B461" s="18"/>
      <c r="C461" s="18"/>
      <c r="D461" s="18"/>
      <c r="E461" s="18"/>
      <c r="F461" s="18"/>
    </row>
    <row r="462" spans="2:6" x14ac:dyDescent="0.25">
      <c r="B462" s="39" t="s">
        <v>23</v>
      </c>
      <c r="C462" s="38"/>
      <c r="D462" s="38"/>
      <c r="E462" s="39" t="s">
        <v>24</v>
      </c>
      <c r="F462" s="38"/>
    </row>
    <row r="465" spans="2:6" ht="30.6" customHeight="1" x14ac:dyDescent="0.25">
      <c r="B465" s="37" t="s">
        <v>180</v>
      </c>
      <c r="C465" s="37"/>
      <c r="D465" s="37"/>
      <c r="E465" s="37"/>
      <c r="F465" s="37"/>
    </row>
    <row r="466" spans="2:6" ht="28.15" customHeight="1" x14ac:dyDescent="0.25">
      <c r="B466" s="37" t="s">
        <v>1</v>
      </c>
      <c r="C466" s="37"/>
      <c r="D466" s="37"/>
      <c r="E466" s="37"/>
      <c r="F466" s="37"/>
    </row>
    <row r="467" spans="2:6" x14ac:dyDescent="0.25">
      <c r="B467" s="16" t="s">
        <v>0</v>
      </c>
      <c r="C467" s="16"/>
      <c r="D467" s="16"/>
      <c r="E467" s="16"/>
      <c r="F467" s="16"/>
    </row>
    <row r="468" spans="2:6" x14ac:dyDescent="0.25">
      <c r="B468" s="17"/>
      <c r="C468" s="38" t="s">
        <v>25</v>
      </c>
      <c r="D468" s="38"/>
      <c r="E468" s="17">
        <v>782.9</v>
      </c>
      <c r="F468" s="17" t="s">
        <v>26</v>
      </c>
    </row>
    <row r="470" spans="2:6" ht="45" x14ac:dyDescent="0.25">
      <c r="B470" s="1" t="s">
        <v>2</v>
      </c>
      <c r="C470" s="1" t="s">
        <v>4</v>
      </c>
      <c r="D470" s="1" t="s">
        <v>3</v>
      </c>
      <c r="E470" s="1" t="s">
        <v>447</v>
      </c>
      <c r="F470" s="1" t="s">
        <v>5</v>
      </c>
    </row>
    <row r="471" spans="2:6" x14ac:dyDescent="0.25">
      <c r="B471" s="1"/>
      <c r="C471" s="1"/>
      <c r="D471" s="1"/>
      <c r="E471" s="1"/>
      <c r="F471" s="1"/>
    </row>
    <row r="472" spans="2:6" x14ac:dyDescent="0.25">
      <c r="B472" s="3" t="s">
        <v>6</v>
      </c>
      <c r="C472" s="1"/>
      <c r="D472" s="1"/>
      <c r="E472" s="1"/>
      <c r="F472" s="1"/>
    </row>
    <row r="473" spans="2:6" x14ac:dyDescent="0.25">
      <c r="B473" s="5" t="s">
        <v>7</v>
      </c>
      <c r="C473" s="1"/>
      <c r="D473" s="1"/>
      <c r="E473" s="1"/>
      <c r="F473" s="5">
        <v>2.0099999999999998</v>
      </c>
    </row>
    <row r="474" spans="2:6" x14ac:dyDescent="0.25">
      <c r="B474" s="5" t="s">
        <v>8</v>
      </c>
      <c r="C474" s="1"/>
      <c r="D474" s="1"/>
      <c r="E474" s="1"/>
      <c r="F474" s="5">
        <v>5.34</v>
      </c>
    </row>
    <row r="475" spans="2:6" x14ac:dyDescent="0.25">
      <c r="B475" s="15" t="s">
        <v>30</v>
      </c>
      <c r="C475" s="1"/>
      <c r="D475" s="1"/>
      <c r="E475" s="1"/>
      <c r="F475" s="5">
        <v>0.06</v>
      </c>
    </row>
    <row r="476" spans="2:6" ht="24.75" x14ac:dyDescent="0.25">
      <c r="B476" s="5" t="s">
        <v>11</v>
      </c>
      <c r="C476" s="1"/>
      <c r="D476" s="1"/>
      <c r="E476" s="1"/>
      <c r="F476" s="5">
        <v>0.55000000000000004</v>
      </c>
    </row>
    <row r="477" spans="2:6" ht="24.75" x14ac:dyDescent="0.25">
      <c r="B477" s="5" t="s">
        <v>12</v>
      </c>
      <c r="C477" s="1"/>
      <c r="D477" s="1"/>
      <c r="E477" s="1"/>
      <c r="F477" s="5">
        <v>0.53</v>
      </c>
    </row>
    <row r="478" spans="2:6" ht="24.75" x14ac:dyDescent="0.25">
      <c r="B478" s="5" t="s">
        <v>13</v>
      </c>
      <c r="C478" s="1"/>
      <c r="D478" s="1"/>
      <c r="E478" s="1"/>
      <c r="F478" s="5">
        <v>0.19</v>
      </c>
    </row>
    <row r="479" spans="2:6" ht="24.75" x14ac:dyDescent="0.25">
      <c r="B479" s="5" t="s">
        <v>14</v>
      </c>
      <c r="C479" s="1"/>
      <c r="D479" s="1"/>
      <c r="E479" s="1"/>
      <c r="F479" s="5">
        <v>1.25</v>
      </c>
    </row>
    <row r="480" spans="2:6" ht="24.75" x14ac:dyDescent="0.25">
      <c r="B480" s="5" t="s">
        <v>9</v>
      </c>
      <c r="C480" s="1"/>
      <c r="D480" s="1"/>
      <c r="E480" s="1"/>
      <c r="F480" s="5">
        <v>0.26</v>
      </c>
    </row>
    <row r="481" spans="2:6" ht="24.75" x14ac:dyDescent="0.25">
      <c r="B481" s="5" t="s">
        <v>15</v>
      </c>
      <c r="C481" s="1"/>
      <c r="D481" s="1"/>
      <c r="E481" s="1"/>
      <c r="F481" s="5">
        <v>0.27</v>
      </c>
    </row>
    <row r="482" spans="2:6" ht="24.75" x14ac:dyDescent="0.25">
      <c r="B482" s="5" t="s">
        <v>16</v>
      </c>
      <c r="C482" s="1"/>
      <c r="D482" s="1"/>
      <c r="E482" s="1"/>
      <c r="F482" s="5">
        <v>0.28999999999999998</v>
      </c>
    </row>
    <row r="483" spans="2:6" x14ac:dyDescent="0.25">
      <c r="B483" s="5" t="s">
        <v>17</v>
      </c>
      <c r="C483" s="1"/>
      <c r="D483" s="1"/>
      <c r="E483" s="1"/>
      <c r="F483" s="5">
        <v>0.32</v>
      </c>
    </row>
    <row r="484" spans="2:6" x14ac:dyDescent="0.25">
      <c r="B484" s="5" t="s">
        <v>18</v>
      </c>
      <c r="C484" s="1"/>
      <c r="D484" s="1"/>
      <c r="E484" s="1"/>
      <c r="F484" s="5">
        <v>1.97</v>
      </c>
    </row>
    <row r="485" spans="2:6" x14ac:dyDescent="0.25">
      <c r="B485" s="5" t="s">
        <v>19</v>
      </c>
      <c r="C485" s="1"/>
      <c r="D485" s="1"/>
      <c r="E485" s="1"/>
      <c r="F485" s="5">
        <v>3.51</v>
      </c>
    </row>
    <row r="486" spans="2:6" x14ac:dyDescent="0.25">
      <c r="B486" s="10" t="s">
        <v>20</v>
      </c>
      <c r="C486" s="1"/>
      <c r="D486" s="1"/>
      <c r="E486" s="1"/>
      <c r="F486" s="4">
        <f>SUM(F473:F485)</f>
        <v>16.549999999999997</v>
      </c>
    </row>
    <row r="487" spans="2:6" x14ac:dyDescent="0.25">
      <c r="B487" s="3" t="s">
        <v>21</v>
      </c>
      <c r="C487" s="1"/>
      <c r="D487" s="1"/>
      <c r="E487" s="1"/>
      <c r="F487" s="1"/>
    </row>
    <row r="488" spans="2:6" x14ac:dyDescent="0.25">
      <c r="B488" s="15" t="s">
        <v>252</v>
      </c>
      <c r="C488" s="1" t="s">
        <v>270</v>
      </c>
      <c r="D488" s="1">
        <v>1</v>
      </c>
      <c r="E488" s="1">
        <v>45</v>
      </c>
      <c r="F488" s="24">
        <f>E488/782.9*1000/12</f>
        <v>4.789883765487291</v>
      </c>
    </row>
    <row r="489" spans="2:6" x14ac:dyDescent="0.25">
      <c r="B489" s="15" t="s">
        <v>267</v>
      </c>
      <c r="C489" s="1" t="s">
        <v>265</v>
      </c>
      <c r="D489" s="1">
        <v>1</v>
      </c>
      <c r="E489" s="1">
        <v>15</v>
      </c>
      <c r="F489" s="24">
        <f t="shared" ref="F489:F499" si="11">E489/782.9*1000/12</f>
        <v>1.5966279218290971</v>
      </c>
    </row>
    <row r="490" spans="2:6" x14ac:dyDescent="0.25">
      <c r="B490" s="15" t="s">
        <v>269</v>
      </c>
      <c r="C490" s="1" t="s">
        <v>261</v>
      </c>
      <c r="D490" s="1">
        <v>6</v>
      </c>
      <c r="E490" s="1">
        <v>30</v>
      </c>
      <c r="F490" s="24">
        <f t="shared" si="11"/>
        <v>3.1932558436581941</v>
      </c>
    </row>
    <row r="491" spans="2:6" x14ac:dyDescent="0.25">
      <c r="B491" s="15" t="s">
        <v>254</v>
      </c>
      <c r="C491" s="1" t="s">
        <v>26</v>
      </c>
      <c r="D491" s="1">
        <v>58</v>
      </c>
      <c r="E491" s="1">
        <v>35</v>
      </c>
      <c r="F491" s="24">
        <f t="shared" si="11"/>
        <v>3.7254651509345593</v>
      </c>
    </row>
    <row r="492" spans="2:6" x14ac:dyDescent="0.25">
      <c r="B492" s="15" t="s">
        <v>260</v>
      </c>
      <c r="C492" s="1" t="s">
        <v>270</v>
      </c>
      <c r="D492" s="1">
        <v>1</v>
      </c>
      <c r="E492" s="1">
        <v>70</v>
      </c>
      <c r="F492" s="24">
        <f t="shared" si="11"/>
        <v>7.4509303018691186</v>
      </c>
    </row>
    <row r="493" spans="2:6" x14ac:dyDescent="0.25">
      <c r="B493" s="26" t="s">
        <v>316</v>
      </c>
      <c r="C493" s="1" t="s">
        <v>261</v>
      </c>
      <c r="D493" s="1">
        <v>36</v>
      </c>
      <c r="E493" s="1">
        <v>43</v>
      </c>
      <c r="F493" s="24">
        <f t="shared" si="11"/>
        <v>4.5770000425767448</v>
      </c>
    </row>
    <row r="494" spans="2:6" x14ac:dyDescent="0.25">
      <c r="B494" s="1"/>
      <c r="C494" s="1"/>
      <c r="D494" s="1"/>
      <c r="E494" s="1"/>
      <c r="F494" s="24">
        <f t="shared" si="11"/>
        <v>0</v>
      </c>
    </row>
    <row r="495" spans="2:6" x14ac:dyDescent="0.25">
      <c r="B495" s="1"/>
      <c r="C495" s="1"/>
      <c r="D495" s="1"/>
      <c r="E495" s="1"/>
      <c r="F495" s="24">
        <f t="shared" si="11"/>
        <v>0</v>
      </c>
    </row>
    <row r="496" spans="2:6" x14ac:dyDescent="0.25">
      <c r="B496" s="1"/>
      <c r="C496" s="1"/>
      <c r="D496" s="1"/>
      <c r="E496" s="1"/>
      <c r="F496" s="24">
        <f t="shared" si="11"/>
        <v>0</v>
      </c>
    </row>
    <row r="497" spans="2:6" x14ac:dyDescent="0.25">
      <c r="B497" s="1"/>
      <c r="C497" s="1"/>
      <c r="D497" s="1"/>
      <c r="E497" s="1"/>
      <c r="F497" s="24">
        <f t="shared" si="11"/>
        <v>0</v>
      </c>
    </row>
    <row r="498" spans="2:6" x14ac:dyDescent="0.25">
      <c r="B498" s="1"/>
      <c r="C498" s="1"/>
      <c r="D498" s="1"/>
      <c r="E498" s="1"/>
      <c r="F498" s="24">
        <f t="shared" si="11"/>
        <v>0</v>
      </c>
    </row>
    <row r="499" spans="2:6" x14ac:dyDescent="0.25">
      <c r="B499" s="1"/>
      <c r="C499" s="1"/>
      <c r="D499" s="1"/>
      <c r="E499" s="1"/>
      <c r="F499" s="24">
        <f t="shared" si="11"/>
        <v>0</v>
      </c>
    </row>
    <row r="500" spans="2:6" x14ac:dyDescent="0.25">
      <c r="B500" s="10" t="s">
        <v>20</v>
      </c>
      <c r="C500" s="1"/>
      <c r="D500" s="1"/>
      <c r="E500" s="4">
        <f>SUM(E488:E499)</f>
        <v>238</v>
      </c>
      <c r="F500" s="22">
        <f>SUM(F488:F499)</f>
        <v>25.333163026355006</v>
      </c>
    </row>
    <row r="501" spans="2:6" x14ac:dyDescent="0.25">
      <c r="B501" s="4" t="s">
        <v>22</v>
      </c>
      <c r="C501" s="6"/>
      <c r="D501" s="6"/>
      <c r="E501" s="6"/>
      <c r="F501" s="23">
        <f>F486+F500</f>
        <v>41.883163026355007</v>
      </c>
    </row>
    <row r="502" spans="2:6" x14ac:dyDescent="0.25">
      <c r="B502" s="7"/>
      <c r="C502" s="7"/>
      <c r="D502" s="7"/>
      <c r="E502" s="7"/>
      <c r="F502" s="7"/>
    </row>
    <row r="503" spans="2:6" x14ac:dyDescent="0.25">
      <c r="B503" s="18"/>
      <c r="C503" s="18"/>
      <c r="D503" s="18"/>
      <c r="E503" s="18"/>
      <c r="F503" s="18"/>
    </row>
    <row r="504" spans="2:6" x14ac:dyDescent="0.25">
      <c r="B504" s="18"/>
      <c r="C504" s="18"/>
      <c r="D504" s="18"/>
      <c r="E504" s="18"/>
      <c r="F504" s="18"/>
    </row>
    <row r="505" spans="2:6" x14ac:dyDescent="0.25">
      <c r="B505" s="39" t="s">
        <v>23</v>
      </c>
      <c r="C505" s="38"/>
      <c r="D505" s="38"/>
      <c r="E505" s="39" t="s">
        <v>24</v>
      </c>
      <c r="F505" s="38"/>
    </row>
    <row r="507" spans="2:6" ht="38.450000000000003" customHeight="1" x14ac:dyDescent="0.25">
      <c r="B507" s="37" t="s">
        <v>181</v>
      </c>
      <c r="C507" s="37"/>
      <c r="D507" s="37"/>
      <c r="E507" s="37"/>
      <c r="F507" s="37"/>
    </row>
    <row r="508" spans="2:6" ht="31.15" customHeight="1" x14ac:dyDescent="0.25">
      <c r="B508" s="37" t="s">
        <v>1</v>
      </c>
      <c r="C508" s="37"/>
      <c r="D508" s="37"/>
      <c r="E508" s="37"/>
      <c r="F508" s="37"/>
    </row>
    <row r="509" spans="2:6" x14ac:dyDescent="0.25">
      <c r="B509" s="16" t="s">
        <v>0</v>
      </c>
      <c r="C509" s="16"/>
      <c r="D509" s="16"/>
      <c r="E509" s="16"/>
      <c r="F509" s="16"/>
    </row>
    <row r="510" spans="2:6" x14ac:dyDescent="0.25">
      <c r="B510" s="17"/>
      <c r="C510" s="38" t="s">
        <v>25</v>
      </c>
      <c r="D510" s="38"/>
      <c r="E510" s="17">
        <v>799.4</v>
      </c>
      <c r="F510" s="17" t="s">
        <v>26</v>
      </c>
    </row>
    <row r="512" spans="2:6" ht="45" x14ac:dyDescent="0.25">
      <c r="B512" s="1" t="s">
        <v>2</v>
      </c>
      <c r="C512" s="1" t="s">
        <v>4</v>
      </c>
      <c r="D512" s="1" t="s">
        <v>3</v>
      </c>
      <c r="E512" s="1" t="s">
        <v>447</v>
      </c>
      <c r="F512" s="1" t="s">
        <v>5</v>
      </c>
    </row>
    <row r="513" spans="2:6" x14ac:dyDescent="0.25">
      <c r="B513" s="1"/>
      <c r="C513" s="1"/>
      <c r="D513" s="1"/>
      <c r="E513" s="1"/>
      <c r="F513" s="1"/>
    </row>
    <row r="514" spans="2:6" x14ac:dyDescent="0.25">
      <c r="B514" s="3" t="s">
        <v>6</v>
      </c>
      <c r="C514" s="1"/>
      <c r="D514" s="1"/>
      <c r="E514" s="1"/>
      <c r="F514" s="1"/>
    </row>
    <row r="515" spans="2:6" x14ac:dyDescent="0.25">
      <c r="B515" s="5" t="s">
        <v>7</v>
      </c>
      <c r="C515" s="1"/>
      <c r="D515" s="1"/>
      <c r="E515" s="1"/>
      <c r="F515" s="5">
        <v>2.0099999999999998</v>
      </c>
    </row>
    <row r="516" spans="2:6" x14ac:dyDescent="0.25">
      <c r="B516" s="5" t="s">
        <v>8</v>
      </c>
      <c r="C516" s="1"/>
      <c r="D516" s="1"/>
      <c r="E516" s="1"/>
      <c r="F516" s="5">
        <v>5.34</v>
      </c>
    </row>
    <row r="517" spans="2:6" x14ac:dyDescent="0.25">
      <c r="B517" s="15" t="s">
        <v>30</v>
      </c>
      <c r="C517" s="1"/>
      <c r="D517" s="1"/>
      <c r="E517" s="1"/>
      <c r="F517" s="5">
        <v>0.06</v>
      </c>
    </row>
    <row r="518" spans="2:6" ht="24.75" x14ac:dyDescent="0.25">
      <c r="B518" s="5" t="s">
        <v>11</v>
      </c>
      <c r="C518" s="1"/>
      <c r="D518" s="1"/>
      <c r="E518" s="1"/>
      <c r="F518" s="5">
        <v>0.55000000000000004</v>
      </c>
    </row>
    <row r="519" spans="2:6" ht="24.75" x14ac:dyDescent="0.25">
      <c r="B519" s="5" t="s">
        <v>12</v>
      </c>
      <c r="C519" s="1"/>
      <c r="D519" s="1"/>
      <c r="E519" s="1"/>
      <c r="F519" s="5">
        <v>0.53</v>
      </c>
    </row>
    <row r="520" spans="2:6" ht="24.75" x14ac:dyDescent="0.25">
      <c r="B520" s="5" t="s">
        <v>13</v>
      </c>
      <c r="C520" s="1"/>
      <c r="D520" s="1"/>
      <c r="E520" s="1"/>
      <c r="F520" s="5">
        <v>0.19</v>
      </c>
    </row>
    <row r="521" spans="2:6" ht="24.75" x14ac:dyDescent="0.25">
      <c r="B521" s="5" t="s">
        <v>14</v>
      </c>
      <c r="C521" s="1"/>
      <c r="D521" s="1"/>
      <c r="E521" s="1"/>
      <c r="F521" s="5">
        <v>1.25</v>
      </c>
    </row>
    <row r="522" spans="2:6" ht="24.75" x14ac:dyDescent="0.25">
      <c r="B522" s="5" t="s">
        <v>9</v>
      </c>
      <c r="C522" s="1"/>
      <c r="D522" s="1"/>
      <c r="E522" s="1"/>
      <c r="F522" s="5">
        <v>0.26</v>
      </c>
    </row>
    <row r="523" spans="2:6" ht="24.75" x14ac:dyDescent="0.25">
      <c r="B523" s="5" t="s">
        <v>15</v>
      </c>
      <c r="C523" s="1"/>
      <c r="D523" s="1"/>
      <c r="E523" s="1"/>
      <c r="F523" s="5">
        <v>0.27</v>
      </c>
    </row>
    <row r="524" spans="2:6" ht="24.75" x14ac:dyDescent="0.25">
      <c r="B524" s="5" t="s">
        <v>16</v>
      </c>
      <c r="C524" s="1"/>
      <c r="D524" s="1"/>
      <c r="E524" s="1"/>
      <c r="F524" s="5">
        <v>0.28999999999999998</v>
      </c>
    </row>
    <row r="525" spans="2:6" x14ac:dyDescent="0.25">
      <c r="B525" s="5" t="s">
        <v>17</v>
      </c>
      <c r="C525" s="1"/>
      <c r="D525" s="1"/>
      <c r="E525" s="1"/>
      <c r="F525" s="5">
        <v>0.32</v>
      </c>
    </row>
    <row r="526" spans="2:6" x14ac:dyDescent="0.25">
      <c r="B526" s="5" t="s">
        <v>18</v>
      </c>
      <c r="C526" s="1"/>
      <c r="D526" s="1"/>
      <c r="E526" s="1"/>
      <c r="F526" s="5">
        <v>1.97</v>
      </c>
    </row>
    <row r="527" spans="2:6" x14ac:dyDescent="0.25">
      <c r="B527" s="5" t="s">
        <v>19</v>
      </c>
      <c r="C527" s="1"/>
      <c r="D527" s="1"/>
      <c r="E527" s="1"/>
      <c r="F527" s="5">
        <v>3.51</v>
      </c>
    </row>
    <row r="528" spans="2:6" x14ac:dyDescent="0.25">
      <c r="B528" s="10" t="s">
        <v>20</v>
      </c>
      <c r="C528" s="1"/>
      <c r="D528" s="1"/>
      <c r="E528" s="1"/>
      <c r="F528" s="4">
        <f>SUM(F515:F527)</f>
        <v>16.549999999999997</v>
      </c>
    </row>
    <row r="529" spans="2:6" x14ac:dyDescent="0.25">
      <c r="B529" s="3" t="s">
        <v>21</v>
      </c>
      <c r="C529" s="1"/>
      <c r="D529" s="1"/>
      <c r="E529" s="1"/>
      <c r="F529" s="1"/>
    </row>
    <row r="530" spans="2:6" x14ac:dyDescent="0.25">
      <c r="B530" s="15" t="s">
        <v>252</v>
      </c>
      <c r="C530" s="1" t="s">
        <v>256</v>
      </c>
      <c r="D530" s="1">
        <v>1</v>
      </c>
      <c r="E530" s="1">
        <v>45</v>
      </c>
      <c r="F530" s="24">
        <f>E530/799.4*1000/12</f>
        <v>4.6910182636977735</v>
      </c>
    </row>
    <row r="531" spans="2:6" x14ac:dyDescent="0.25">
      <c r="B531" s="15" t="s">
        <v>267</v>
      </c>
      <c r="C531" s="1" t="s">
        <v>265</v>
      </c>
      <c r="D531" s="1">
        <v>1</v>
      </c>
      <c r="E531" s="1">
        <v>13</v>
      </c>
      <c r="F531" s="24">
        <f t="shared" ref="F531:F541" si="12">E531/799.4*1000/12</f>
        <v>1.3551830539571343</v>
      </c>
    </row>
    <row r="532" spans="2:6" x14ac:dyDescent="0.25">
      <c r="B532" s="15" t="s">
        <v>269</v>
      </c>
      <c r="C532" s="1" t="s">
        <v>261</v>
      </c>
      <c r="D532" s="1">
        <v>8</v>
      </c>
      <c r="E532" s="1">
        <v>32</v>
      </c>
      <c r="F532" s="24">
        <f t="shared" si="12"/>
        <v>3.335835209740639</v>
      </c>
    </row>
    <row r="533" spans="2:6" x14ac:dyDescent="0.25">
      <c r="B533" s="15" t="s">
        <v>254</v>
      </c>
      <c r="C533" s="1" t="s">
        <v>26</v>
      </c>
      <c r="D533" s="1">
        <v>54</v>
      </c>
      <c r="E533" s="1">
        <v>33</v>
      </c>
      <c r="F533" s="24">
        <f t="shared" si="12"/>
        <v>3.4400800600450339</v>
      </c>
    </row>
    <row r="534" spans="2:6" x14ac:dyDescent="0.25">
      <c r="B534" s="15" t="s">
        <v>255</v>
      </c>
      <c r="C534" s="1" t="s">
        <v>26</v>
      </c>
      <c r="D534" s="1">
        <v>2</v>
      </c>
      <c r="E534" s="1">
        <v>5</v>
      </c>
      <c r="F534" s="24">
        <f t="shared" si="12"/>
        <v>0.52122425152197482</v>
      </c>
    </row>
    <row r="535" spans="2:6" x14ac:dyDescent="0.25">
      <c r="B535" s="15" t="s">
        <v>259</v>
      </c>
      <c r="C535" s="1" t="s">
        <v>26</v>
      </c>
      <c r="D535" s="1">
        <v>3.9</v>
      </c>
      <c r="E535" s="1">
        <v>7.8</v>
      </c>
      <c r="F535" s="24">
        <f t="shared" si="12"/>
        <v>0.81310983237428081</v>
      </c>
    </row>
    <row r="536" spans="2:6" x14ac:dyDescent="0.25">
      <c r="B536" s="15" t="s">
        <v>260</v>
      </c>
      <c r="C536" s="1" t="s">
        <v>256</v>
      </c>
      <c r="D536" s="1">
        <v>1</v>
      </c>
      <c r="E536" s="1">
        <v>70</v>
      </c>
      <c r="F536" s="24">
        <f t="shared" si="12"/>
        <v>7.2971395213076482</v>
      </c>
    </row>
    <row r="537" spans="2:6" x14ac:dyDescent="0.25">
      <c r="B537" s="26" t="s">
        <v>316</v>
      </c>
      <c r="C537" s="1" t="s">
        <v>261</v>
      </c>
      <c r="D537" s="1">
        <v>34</v>
      </c>
      <c r="E537" s="1">
        <v>41</v>
      </c>
      <c r="F537" s="24">
        <f t="shared" si="12"/>
        <v>4.2740388624801939</v>
      </c>
    </row>
    <row r="538" spans="2:6" x14ac:dyDescent="0.25">
      <c r="B538" s="1"/>
      <c r="C538" s="1"/>
      <c r="D538" s="1"/>
      <c r="E538" s="1"/>
      <c r="F538" s="24">
        <f t="shared" si="12"/>
        <v>0</v>
      </c>
    </row>
    <row r="539" spans="2:6" x14ac:dyDescent="0.25">
      <c r="B539" s="1"/>
      <c r="C539" s="1"/>
      <c r="D539" s="1"/>
      <c r="E539" s="1"/>
      <c r="F539" s="24">
        <f t="shared" si="12"/>
        <v>0</v>
      </c>
    </row>
    <row r="540" spans="2:6" x14ac:dyDescent="0.25">
      <c r="B540" s="1"/>
      <c r="C540" s="1"/>
      <c r="D540" s="1"/>
      <c r="E540" s="1"/>
      <c r="F540" s="24">
        <f t="shared" si="12"/>
        <v>0</v>
      </c>
    </row>
    <row r="541" spans="2:6" x14ac:dyDescent="0.25">
      <c r="B541" s="1"/>
      <c r="C541" s="1"/>
      <c r="D541" s="1"/>
      <c r="E541" s="1"/>
      <c r="F541" s="24">
        <f t="shared" si="12"/>
        <v>0</v>
      </c>
    </row>
    <row r="542" spans="2:6" x14ac:dyDescent="0.25">
      <c r="B542" s="10" t="s">
        <v>20</v>
      </c>
      <c r="C542" s="1"/>
      <c r="D542" s="1"/>
      <c r="E542" s="4">
        <f>SUM(E530:E541)</f>
        <v>246.8</v>
      </c>
      <c r="F542" s="22">
        <f>SUM(F530:F541)</f>
        <v>25.727629055124677</v>
      </c>
    </row>
    <row r="543" spans="2:6" x14ac:dyDescent="0.25">
      <c r="B543" s="4" t="s">
        <v>22</v>
      </c>
      <c r="C543" s="6"/>
      <c r="D543" s="6"/>
      <c r="E543" s="6"/>
      <c r="F543" s="23">
        <f>F528+F542</f>
        <v>42.277629055124677</v>
      </c>
    </row>
    <row r="544" spans="2:6" x14ac:dyDescent="0.25">
      <c r="B544" s="7"/>
      <c r="C544" s="7"/>
      <c r="D544" s="7"/>
      <c r="E544" s="7"/>
      <c r="F544" s="7"/>
    </row>
    <row r="545" spans="2:6" x14ac:dyDescent="0.25">
      <c r="B545" s="18"/>
      <c r="C545" s="18"/>
      <c r="D545" s="18"/>
      <c r="E545" s="18"/>
      <c r="F545" s="18"/>
    </row>
    <row r="546" spans="2:6" x14ac:dyDescent="0.25">
      <c r="B546" s="18"/>
      <c r="C546" s="18"/>
      <c r="D546" s="18"/>
      <c r="E546" s="18"/>
      <c r="F546" s="18"/>
    </row>
    <row r="547" spans="2:6" x14ac:dyDescent="0.25">
      <c r="B547" s="39" t="s">
        <v>23</v>
      </c>
      <c r="C547" s="38"/>
      <c r="D547" s="38"/>
      <c r="E547" s="39" t="s">
        <v>24</v>
      </c>
      <c r="F547" s="38"/>
    </row>
    <row r="549" spans="2:6" ht="33" customHeight="1" x14ac:dyDescent="0.25">
      <c r="B549" s="37" t="s">
        <v>182</v>
      </c>
      <c r="C549" s="37"/>
      <c r="D549" s="37"/>
      <c r="E549" s="37"/>
      <c r="F549" s="37"/>
    </row>
    <row r="550" spans="2:6" ht="30.6" customHeight="1" x14ac:dyDescent="0.25">
      <c r="B550" s="37" t="s">
        <v>1</v>
      </c>
      <c r="C550" s="37"/>
      <c r="D550" s="37"/>
      <c r="E550" s="37"/>
      <c r="F550" s="37"/>
    </row>
    <row r="551" spans="2:6" x14ac:dyDescent="0.25">
      <c r="B551" s="16" t="s">
        <v>0</v>
      </c>
      <c r="C551" s="16"/>
      <c r="D551" s="16"/>
      <c r="E551" s="16"/>
      <c r="F551" s="16"/>
    </row>
    <row r="552" spans="2:6" x14ac:dyDescent="0.25">
      <c r="B552" s="17"/>
      <c r="C552" s="38" t="s">
        <v>25</v>
      </c>
      <c r="D552" s="38"/>
      <c r="E552" s="17">
        <v>878.5</v>
      </c>
      <c r="F552" s="17" t="s">
        <v>26</v>
      </c>
    </row>
    <row r="554" spans="2:6" ht="45" x14ac:dyDescent="0.25">
      <c r="B554" s="1" t="s">
        <v>2</v>
      </c>
      <c r="C554" s="1" t="s">
        <v>4</v>
      </c>
      <c r="D554" s="1" t="s">
        <v>3</v>
      </c>
      <c r="E554" s="1" t="s">
        <v>447</v>
      </c>
      <c r="F554" s="1" t="s">
        <v>5</v>
      </c>
    </row>
    <row r="555" spans="2:6" x14ac:dyDescent="0.25">
      <c r="B555" s="1"/>
      <c r="C555" s="1"/>
      <c r="D555" s="1"/>
      <c r="E555" s="1"/>
      <c r="F555" s="1"/>
    </row>
    <row r="556" spans="2:6" x14ac:dyDescent="0.25">
      <c r="B556" s="3" t="s">
        <v>6</v>
      </c>
      <c r="C556" s="1"/>
      <c r="D556" s="1"/>
      <c r="E556" s="1"/>
      <c r="F556" s="1"/>
    </row>
    <row r="557" spans="2:6" x14ac:dyDescent="0.25">
      <c r="B557" s="5" t="s">
        <v>7</v>
      </c>
      <c r="C557" s="1"/>
      <c r="D557" s="1"/>
      <c r="E557" s="1"/>
      <c r="F557" s="5">
        <v>2.0099999999999998</v>
      </c>
    </row>
    <row r="558" spans="2:6" x14ac:dyDescent="0.25">
      <c r="B558" s="5" t="s">
        <v>8</v>
      </c>
      <c r="C558" s="1"/>
      <c r="D558" s="1"/>
      <c r="E558" s="1"/>
      <c r="F558" s="5">
        <v>5.34</v>
      </c>
    </row>
    <row r="559" spans="2:6" x14ac:dyDescent="0.25">
      <c r="B559" s="15" t="s">
        <v>30</v>
      </c>
      <c r="C559" s="1"/>
      <c r="D559" s="1"/>
      <c r="E559" s="1"/>
      <c r="F559" s="5">
        <v>0.06</v>
      </c>
    </row>
    <row r="560" spans="2:6" ht="24.75" x14ac:dyDescent="0.25">
      <c r="B560" s="5" t="s">
        <v>11</v>
      </c>
      <c r="C560" s="1"/>
      <c r="D560" s="1"/>
      <c r="E560" s="1"/>
      <c r="F560" s="5">
        <v>0.55000000000000004</v>
      </c>
    </row>
    <row r="561" spans="2:6" ht="24.75" x14ac:dyDescent="0.25">
      <c r="B561" s="5" t="s">
        <v>12</v>
      </c>
      <c r="C561" s="1"/>
      <c r="D561" s="1"/>
      <c r="E561" s="1"/>
      <c r="F561" s="5">
        <v>0.53</v>
      </c>
    </row>
    <row r="562" spans="2:6" ht="24.75" x14ac:dyDescent="0.25">
      <c r="B562" s="5" t="s">
        <v>13</v>
      </c>
      <c r="C562" s="1"/>
      <c r="D562" s="1"/>
      <c r="E562" s="1"/>
      <c r="F562" s="5">
        <v>0.19</v>
      </c>
    </row>
    <row r="563" spans="2:6" ht="24.75" x14ac:dyDescent="0.25">
      <c r="B563" s="5" t="s">
        <v>14</v>
      </c>
      <c r="C563" s="1"/>
      <c r="D563" s="1"/>
      <c r="E563" s="1"/>
      <c r="F563" s="5">
        <v>1.25</v>
      </c>
    </row>
    <row r="564" spans="2:6" ht="24.75" x14ac:dyDescent="0.25">
      <c r="B564" s="5" t="s">
        <v>9</v>
      </c>
      <c r="C564" s="1"/>
      <c r="D564" s="1"/>
      <c r="E564" s="1"/>
      <c r="F564" s="5">
        <v>0.26</v>
      </c>
    </row>
    <row r="565" spans="2:6" ht="24.75" x14ac:dyDescent="0.25">
      <c r="B565" s="5" t="s">
        <v>15</v>
      </c>
      <c r="C565" s="1"/>
      <c r="D565" s="1"/>
      <c r="E565" s="1"/>
      <c r="F565" s="5">
        <v>0.27</v>
      </c>
    </row>
    <row r="566" spans="2:6" ht="24.75" x14ac:dyDescent="0.25">
      <c r="B566" s="5" t="s">
        <v>16</v>
      </c>
      <c r="C566" s="1"/>
      <c r="D566" s="1"/>
      <c r="E566" s="1"/>
      <c r="F566" s="5">
        <v>0.28999999999999998</v>
      </c>
    </row>
    <row r="567" spans="2:6" x14ac:dyDescent="0.25">
      <c r="B567" s="5" t="s">
        <v>17</v>
      </c>
      <c r="C567" s="1"/>
      <c r="D567" s="1"/>
      <c r="E567" s="1"/>
      <c r="F567" s="5">
        <v>0.32</v>
      </c>
    </row>
    <row r="568" spans="2:6" x14ac:dyDescent="0.25">
      <c r="B568" s="5" t="s">
        <v>18</v>
      </c>
      <c r="C568" s="1"/>
      <c r="D568" s="1"/>
      <c r="E568" s="1"/>
      <c r="F568" s="5">
        <v>1.97</v>
      </c>
    </row>
    <row r="569" spans="2:6" x14ac:dyDescent="0.25">
      <c r="B569" s="5" t="s">
        <v>19</v>
      </c>
      <c r="C569" s="1"/>
      <c r="D569" s="1"/>
      <c r="E569" s="1"/>
      <c r="F569" s="5">
        <v>3.51</v>
      </c>
    </row>
    <row r="570" spans="2:6" x14ac:dyDescent="0.25">
      <c r="B570" s="10" t="s">
        <v>20</v>
      </c>
      <c r="C570" s="1"/>
      <c r="D570" s="1"/>
      <c r="E570" s="1"/>
      <c r="F570" s="4">
        <f>SUM(F557:F569)</f>
        <v>16.549999999999997</v>
      </c>
    </row>
    <row r="571" spans="2:6" x14ac:dyDescent="0.25">
      <c r="B571" s="3" t="s">
        <v>21</v>
      </c>
      <c r="C571" s="1"/>
      <c r="D571" s="1"/>
      <c r="E571" s="1"/>
      <c r="F571" s="1"/>
    </row>
    <row r="572" spans="2:6" x14ac:dyDescent="0.25">
      <c r="B572" s="15" t="s">
        <v>269</v>
      </c>
      <c r="C572" s="1" t="s">
        <v>261</v>
      </c>
      <c r="D572" s="1">
        <v>2.8</v>
      </c>
      <c r="E572" s="1">
        <v>13</v>
      </c>
      <c r="F572" s="24">
        <f>E572/878.5*1000/12</f>
        <v>1.2331625877442611</v>
      </c>
    </row>
    <row r="573" spans="2:6" x14ac:dyDescent="0.25">
      <c r="B573" s="15" t="s">
        <v>253</v>
      </c>
      <c r="C573" s="1" t="s">
        <v>26</v>
      </c>
      <c r="D573" s="1">
        <v>120</v>
      </c>
      <c r="E573" s="1">
        <v>84</v>
      </c>
      <c r="F573" s="24">
        <f t="shared" ref="F573:F583" si="13">E573/878.5*1000/12</f>
        <v>7.9681274900398407</v>
      </c>
    </row>
    <row r="574" spans="2:6" x14ac:dyDescent="0.25">
      <c r="B574" s="15" t="s">
        <v>268</v>
      </c>
      <c r="C574" s="1" t="s">
        <v>26</v>
      </c>
      <c r="D574" s="1">
        <v>60</v>
      </c>
      <c r="E574" s="1">
        <v>36</v>
      </c>
      <c r="F574" s="24">
        <f t="shared" si="13"/>
        <v>3.414911781445646</v>
      </c>
    </row>
    <row r="575" spans="2:6" x14ac:dyDescent="0.25">
      <c r="B575" s="15" t="s">
        <v>257</v>
      </c>
      <c r="C575" s="1" t="s">
        <v>26</v>
      </c>
      <c r="D575" s="1">
        <v>120</v>
      </c>
      <c r="E575" s="1">
        <v>144</v>
      </c>
      <c r="F575" s="24">
        <f t="shared" si="13"/>
        <v>13.659647125782584</v>
      </c>
    </row>
    <row r="576" spans="2:6" x14ac:dyDescent="0.25">
      <c r="B576" s="15" t="s">
        <v>262</v>
      </c>
      <c r="C576" s="1" t="s">
        <v>261</v>
      </c>
      <c r="D576" s="1">
        <v>16</v>
      </c>
      <c r="E576" s="1">
        <v>21</v>
      </c>
      <c r="F576" s="24">
        <f t="shared" si="13"/>
        <v>1.9920318725099602</v>
      </c>
    </row>
    <row r="577" spans="2:6" x14ac:dyDescent="0.25">
      <c r="B577" s="26" t="s">
        <v>316</v>
      </c>
      <c r="C577" s="1" t="s">
        <v>261</v>
      </c>
      <c r="D577" s="1">
        <v>40</v>
      </c>
      <c r="E577" s="1">
        <v>48</v>
      </c>
      <c r="F577" s="24">
        <f t="shared" si="13"/>
        <v>4.5532157085941947</v>
      </c>
    </row>
    <row r="578" spans="2:6" x14ac:dyDescent="0.25">
      <c r="B578" s="1"/>
      <c r="C578" s="1"/>
      <c r="D578" s="1"/>
      <c r="E578" s="1"/>
      <c r="F578" s="24">
        <f t="shared" si="13"/>
        <v>0</v>
      </c>
    </row>
    <row r="579" spans="2:6" x14ac:dyDescent="0.25">
      <c r="B579" s="1"/>
      <c r="C579" s="1"/>
      <c r="D579" s="1"/>
      <c r="E579" s="1"/>
      <c r="F579" s="24">
        <f t="shared" si="13"/>
        <v>0</v>
      </c>
    </row>
    <row r="580" spans="2:6" x14ac:dyDescent="0.25">
      <c r="B580" s="1"/>
      <c r="C580" s="1"/>
      <c r="D580" s="1"/>
      <c r="E580" s="1"/>
      <c r="F580" s="24">
        <f t="shared" si="13"/>
        <v>0</v>
      </c>
    </row>
    <row r="581" spans="2:6" x14ac:dyDescent="0.25">
      <c r="B581" s="1"/>
      <c r="C581" s="1"/>
      <c r="D581" s="1"/>
      <c r="E581" s="1"/>
      <c r="F581" s="24">
        <f t="shared" si="13"/>
        <v>0</v>
      </c>
    </row>
    <row r="582" spans="2:6" x14ac:dyDescent="0.25">
      <c r="B582" s="1"/>
      <c r="C582" s="1"/>
      <c r="D582" s="1"/>
      <c r="E582" s="1"/>
      <c r="F582" s="24">
        <f t="shared" si="13"/>
        <v>0</v>
      </c>
    </row>
    <row r="583" spans="2:6" x14ac:dyDescent="0.25">
      <c r="B583" s="1"/>
      <c r="C583" s="1"/>
      <c r="D583" s="1"/>
      <c r="E583" s="1"/>
      <c r="F583" s="24">
        <f t="shared" si="13"/>
        <v>0</v>
      </c>
    </row>
    <row r="584" spans="2:6" x14ac:dyDescent="0.25">
      <c r="B584" s="10" t="s">
        <v>20</v>
      </c>
      <c r="C584" s="1"/>
      <c r="D584" s="1"/>
      <c r="E584" s="4">
        <f>SUM(E572:E583)</f>
        <v>346</v>
      </c>
      <c r="F584" s="22">
        <f>SUM(F572:F583)</f>
        <v>32.821096566116488</v>
      </c>
    </row>
    <row r="585" spans="2:6" x14ac:dyDescent="0.25">
      <c r="B585" s="4" t="s">
        <v>22</v>
      </c>
      <c r="C585" s="6"/>
      <c r="D585" s="6"/>
      <c r="E585" s="6"/>
      <c r="F585" s="23">
        <f>F570+F584</f>
        <v>49.371096566116485</v>
      </c>
    </row>
    <row r="586" spans="2:6" x14ac:dyDescent="0.25">
      <c r="B586" s="7"/>
      <c r="C586" s="7"/>
      <c r="D586" s="7"/>
      <c r="E586" s="7"/>
      <c r="F586" s="7"/>
    </row>
    <row r="587" spans="2:6" x14ac:dyDescent="0.25">
      <c r="B587" s="18"/>
      <c r="C587" s="18"/>
      <c r="D587" s="18"/>
      <c r="E587" s="18"/>
      <c r="F587" s="18"/>
    </row>
    <row r="588" spans="2:6" x14ac:dyDescent="0.25">
      <c r="B588" s="18"/>
      <c r="C588" s="18"/>
      <c r="D588" s="18"/>
      <c r="E588" s="18"/>
      <c r="F588" s="18"/>
    </row>
    <row r="589" spans="2:6" x14ac:dyDescent="0.25">
      <c r="B589" s="39" t="s">
        <v>23</v>
      </c>
      <c r="C589" s="38"/>
      <c r="D589" s="38"/>
      <c r="E589" s="39" t="s">
        <v>24</v>
      </c>
      <c r="F589" s="38"/>
    </row>
    <row r="591" spans="2:6" ht="35.450000000000003" customHeight="1" x14ac:dyDescent="0.25">
      <c r="B591" s="37" t="s">
        <v>183</v>
      </c>
      <c r="C591" s="37"/>
      <c r="D591" s="37"/>
      <c r="E591" s="37"/>
      <c r="F591" s="37"/>
    </row>
    <row r="592" spans="2:6" ht="32.450000000000003" customHeight="1" x14ac:dyDescent="0.25">
      <c r="B592" s="37" t="s">
        <v>1</v>
      </c>
      <c r="C592" s="37"/>
      <c r="D592" s="37"/>
      <c r="E592" s="37"/>
      <c r="F592" s="37"/>
    </row>
    <row r="593" spans="2:6" x14ac:dyDescent="0.25">
      <c r="B593" s="16" t="s">
        <v>0</v>
      </c>
      <c r="C593" s="16"/>
      <c r="D593" s="16"/>
      <c r="E593" s="16"/>
      <c r="F593" s="16"/>
    </row>
    <row r="594" spans="2:6" x14ac:dyDescent="0.25">
      <c r="B594" s="17"/>
      <c r="C594" s="38" t="s">
        <v>25</v>
      </c>
      <c r="D594" s="38"/>
      <c r="E594" s="17">
        <v>1056.2</v>
      </c>
      <c r="F594" s="17" t="s">
        <v>26</v>
      </c>
    </row>
    <row r="596" spans="2:6" ht="45" x14ac:dyDescent="0.25">
      <c r="B596" s="1" t="s">
        <v>2</v>
      </c>
      <c r="C596" s="1" t="s">
        <v>4</v>
      </c>
      <c r="D596" s="1" t="s">
        <v>3</v>
      </c>
      <c r="E596" s="1" t="s">
        <v>447</v>
      </c>
      <c r="F596" s="1" t="s">
        <v>5</v>
      </c>
    </row>
    <row r="597" spans="2:6" x14ac:dyDescent="0.25">
      <c r="B597" s="1"/>
      <c r="C597" s="1"/>
      <c r="D597" s="1"/>
      <c r="E597" s="1"/>
      <c r="F597" s="1"/>
    </row>
    <row r="598" spans="2:6" x14ac:dyDescent="0.25">
      <c r="B598" s="3" t="s">
        <v>6</v>
      </c>
      <c r="C598" s="1"/>
      <c r="D598" s="1"/>
      <c r="E598" s="1"/>
      <c r="F598" s="1"/>
    </row>
    <row r="599" spans="2:6" x14ac:dyDescent="0.25">
      <c r="B599" s="5" t="s">
        <v>7</v>
      </c>
      <c r="C599" s="1"/>
      <c r="D599" s="1"/>
      <c r="E599" s="1"/>
      <c r="F599" s="5">
        <v>2.0099999999999998</v>
      </c>
    </row>
    <row r="600" spans="2:6" x14ac:dyDescent="0.25">
      <c r="B600" s="5" t="s">
        <v>8</v>
      </c>
      <c r="C600" s="1"/>
      <c r="D600" s="1"/>
      <c r="E600" s="1"/>
      <c r="F600" s="5">
        <v>5.34</v>
      </c>
    </row>
    <row r="601" spans="2:6" ht="24.75" x14ac:dyDescent="0.25">
      <c r="B601" s="5" t="s">
        <v>11</v>
      </c>
      <c r="C601" s="1"/>
      <c r="D601" s="1"/>
      <c r="E601" s="1"/>
      <c r="F601" s="5">
        <v>0.55000000000000004</v>
      </c>
    </row>
    <row r="602" spans="2:6" ht="24.75" x14ac:dyDescent="0.25">
      <c r="B602" s="5" t="s">
        <v>12</v>
      </c>
      <c r="C602" s="1"/>
      <c r="D602" s="1"/>
      <c r="E602" s="1"/>
      <c r="F602" s="5">
        <v>0.53</v>
      </c>
    </row>
    <row r="603" spans="2:6" ht="24.75" x14ac:dyDescent="0.25">
      <c r="B603" s="5" t="s">
        <v>13</v>
      </c>
      <c r="C603" s="1"/>
      <c r="D603" s="1"/>
      <c r="E603" s="1"/>
      <c r="F603" s="5">
        <v>0.19</v>
      </c>
    </row>
    <row r="604" spans="2:6" ht="24.75" x14ac:dyDescent="0.25">
      <c r="B604" s="5" t="s">
        <v>14</v>
      </c>
      <c r="C604" s="1"/>
      <c r="D604" s="1"/>
      <c r="E604" s="1"/>
      <c r="F604" s="5">
        <v>1.25</v>
      </c>
    </row>
    <row r="605" spans="2:6" ht="24.75" x14ac:dyDescent="0.25">
      <c r="B605" s="5" t="s">
        <v>9</v>
      </c>
      <c r="C605" s="1"/>
      <c r="D605" s="1"/>
      <c r="E605" s="1"/>
      <c r="F605" s="5">
        <v>0.26</v>
      </c>
    </row>
    <row r="606" spans="2:6" ht="24.75" x14ac:dyDescent="0.25">
      <c r="B606" s="5" t="s">
        <v>15</v>
      </c>
      <c r="C606" s="1"/>
      <c r="D606" s="1"/>
      <c r="E606" s="1"/>
      <c r="F606" s="5">
        <v>0.27</v>
      </c>
    </row>
    <row r="607" spans="2:6" ht="24.75" x14ac:dyDescent="0.25">
      <c r="B607" s="5" t="s">
        <v>16</v>
      </c>
      <c r="C607" s="1"/>
      <c r="D607" s="1"/>
      <c r="E607" s="1"/>
      <c r="F607" s="5">
        <v>0.28999999999999998</v>
      </c>
    </row>
    <row r="608" spans="2:6" x14ac:dyDescent="0.25">
      <c r="B608" s="5" t="s">
        <v>17</v>
      </c>
      <c r="C608" s="1"/>
      <c r="D608" s="1"/>
      <c r="E608" s="1"/>
      <c r="F608" s="5">
        <v>0.32</v>
      </c>
    </row>
    <row r="609" spans="2:6" x14ac:dyDescent="0.25">
      <c r="B609" s="5" t="s">
        <v>18</v>
      </c>
      <c r="C609" s="1"/>
      <c r="D609" s="1"/>
      <c r="E609" s="1"/>
      <c r="F609" s="5">
        <v>1.97</v>
      </c>
    </row>
    <row r="610" spans="2:6" x14ac:dyDescent="0.25">
      <c r="B610" s="5" t="s">
        <v>19</v>
      </c>
      <c r="C610" s="1"/>
      <c r="D610" s="1"/>
      <c r="E610" s="1"/>
      <c r="F610" s="5">
        <v>3.51</v>
      </c>
    </row>
    <row r="611" spans="2:6" x14ac:dyDescent="0.25">
      <c r="B611" s="10" t="s">
        <v>20</v>
      </c>
      <c r="C611" s="1"/>
      <c r="D611" s="1"/>
      <c r="E611" s="1"/>
      <c r="F611" s="4">
        <f>SUM(F599:F610)</f>
        <v>16.489999999999998</v>
      </c>
    </row>
    <row r="612" spans="2:6" x14ac:dyDescent="0.25">
      <c r="B612" s="3" t="s">
        <v>21</v>
      </c>
      <c r="C612" s="1"/>
      <c r="D612" s="1"/>
      <c r="E612" s="1"/>
      <c r="F612" s="1"/>
    </row>
    <row r="613" spans="2:6" x14ac:dyDescent="0.25">
      <c r="B613" s="15" t="s">
        <v>269</v>
      </c>
      <c r="C613" s="1" t="s">
        <v>261</v>
      </c>
      <c r="D613" s="1">
        <v>4</v>
      </c>
      <c r="E613" s="1">
        <v>20</v>
      </c>
      <c r="F613" s="24">
        <f>E613/1056.2*1000/12</f>
        <v>1.5779839676828882</v>
      </c>
    </row>
    <row r="614" spans="2:6" x14ac:dyDescent="0.25">
      <c r="B614" s="15" t="s">
        <v>253</v>
      </c>
      <c r="C614" s="1" t="s">
        <v>26</v>
      </c>
      <c r="D614" s="1">
        <v>80</v>
      </c>
      <c r="E614" s="1">
        <v>56</v>
      </c>
      <c r="F614" s="24">
        <f t="shared" ref="F614:F624" si="14">E614/1056.2*1000/12</f>
        <v>4.4183551095120874</v>
      </c>
    </row>
    <row r="615" spans="2:6" x14ac:dyDescent="0.25">
      <c r="B615" s="15" t="s">
        <v>254</v>
      </c>
      <c r="C615" s="1" t="s">
        <v>26</v>
      </c>
      <c r="D615" s="1">
        <v>50</v>
      </c>
      <c r="E615" s="1">
        <v>30</v>
      </c>
      <c r="F615" s="24">
        <f t="shared" si="14"/>
        <v>2.3669759515243327</v>
      </c>
    </row>
    <row r="616" spans="2:6" x14ac:dyDescent="0.25">
      <c r="B616" s="15" t="s">
        <v>271</v>
      </c>
      <c r="C616" s="1" t="s">
        <v>261</v>
      </c>
      <c r="D616" s="1">
        <v>12</v>
      </c>
      <c r="E616" s="1">
        <v>22.8</v>
      </c>
      <c r="F616" s="24">
        <f t="shared" si="14"/>
        <v>1.7989017231584927</v>
      </c>
    </row>
    <row r="617" spans="2:6" x14ac:dyDescent="0.25">
      <c r="B617" s="1"/>
      <c r="C617" s="1"/>
      <c r="D617" s="1"/>
      <c r="E617" s="1"/>
      <c r="F617" s="24">
        <f t="shared" si="14"/>
        <v>0</v>
      </c>
    </row>
    <row r="618" spans="2:6" x14ac:dyDescent="0.25">
      <c r="B618" s="1"/>
      <c r="C618" s="1"/>
      <c r="D618" s="1"/>
      <c r="E618" s="1"/>
      <c r="F618" s="24">
        <f t="shared" si="14"/>
        <v>0</v>
      </c>
    </row>
    <row r="619" spans="2:6" x14ac:dyDescent="0.25">
      <c r="B619" s="1"/>
      <c r="C619" s="1"/>
      <c r="D619" s="1"/>
      <c r="E619" s="1"/>
      <c r="F619" s="24">
        <f t="shared" si="14"/>
        <v>0</v>
      </c>
    </row>
    <row r="620" spans="2:6" x14ac:dyDescent="0.25">
      <c r="B620" s="1"/>
      <c r="C620" s="1"/>
      <c r="D620" s="1"/>
      <c r="E620" s="1"/>
      <c r="F620" s="24">
        <f t="shared" si="14"/>
        <v>0</v>
      </c>
    </row>
    <row r="621" spans="2:6" x14ac:dyDescent="0.25">
      <c r="B621" s="1"/>
      <c r="C621" s="1"/>
      <c r="D621" s="1"/>
      <c r="E621" s="1"/>
      <c r="F621" s="24">
        <f t="shared" si="14"/>
        <v>0</v>
      </c>
    </row>
    <row r="622" spans="2:6" x14ac:dyDescent="0.25">
      <c r="B622" s="1"/>
      <c r="C622" s="1"/>
      <c r="D622" s="1"/>
      <c r="E622" s="1"/>
      <c r="F622" s="24">
        <f t="shared" si="14"/>
        <v>0</v>
      </c>
    </row>
    <row r="623" spans="2:6" x14ac:dyDescent="0.25">
      <c r="B623" s="1"/>
      <c r="C623" s="1"/>
      <c r="D623" s="1"/>
      <c r="E623" s="1"/>
      <c r="F623" s="24">
        <f t="shared" si="14"/>
        <v>0</v>
      </c>
    </row>
    <row r="624" spans="2:6" x14ac:dyDescent="0.25">
      <c r="B624" s="1"/>
      <c r="C624" s="1"/>
      <c r="D624" s="1"/>
      <c r="E624" s="1"/>
      <c r="F624" s="24">
        <f t="shared" si="14"/>
        <v>0</v>
      </c>
    </row>
    <row r="625" spans="2:6" x14ac:dyDescent="0.25">
      <c r="B625" s="10" t="s">
        <v>20</v>
      </c>
      <c r="C625" s="1"/>
      <c r="D625" s="1"/>
      <c r="E625" s="4">
        <f>SUM(E613:E624)</f>
        <v>128.80000000000001</v>
      </c>
      <c r="F625" s="22">
        <f>SUM(F613:F624)</f>
        <v>10.1622167518778</v>
      </c>
    </row>
    <row r="626" spans="2:6" x14ac:dyDescent="0.25">
      <c r="B626" s="4" t="s">
        <v>22</v>
      </c>
      <c r="C626" s="6"/>
      <c r="D626" s="6"/>
      <c r="E626" s="6"/>
      <c r="F626" s="23">
        <f>F611+F625</f>
        <v>26.652216751877798</v>
      </c>
    </row>
    <row r="627" spans="2:6" x14ac:dyDescent="0.25">
      <c r="B627" s="7"/>
      <c r="C627" s="7"/>
      <c r="D627" s="7"/>
      <c r="E627" s="7"/>
      <c r="F627" s="7"/>
    </row>
    <row r="628" spans="2:6" x14ac:dyDescent="0.25">
      <c r="B628" s="18"/>
      <c r="C628" s="18"/>
      <c r="D628" s="18"/>
      <c r="E628" s="18"/>
      <c r="F628" s="18"/>
    </row>
    <row r="629" spans="2:6" x14ac:dyDescent="0.25">
      <c r="B629" s="18"/>
      <c r="C629" s="18"/>
      <c r="D629" s="18"/>
      <c r="E629" s="18"/>
      <c r="F629" s="18"/>
    </row>
    <row r="630" spans="2:6" x14ac:dyDescent="0.25">
      <c r="B630" s="39" t="s">
        <v>23</v>
      </c>
      <c r="C630" s="38"/>
      <c r="D630" s="38"/>
      <c r="E630" s="39" t="s">
        <v>24</v>
      </c>
      <c r="F630" s="38"/>
    </row>
    <row r="633" spans="2:6" ht="30" customHeight="1" x14ac:dyDescent="0.25">
      <c r="B633" s="37" t="s">
        <v>184</v>
      </c>
      <c r="C633" s="37"/>
      <c r="D633" s="37"/>
      <c r="E633" s="37"/>
      <c r="F633" s="37"/>
    </row>
    <row r="634" spans="2:6" ht="32.450000000000003" customHeight="1" x14ac:dyDescent="0.25">
      <c r="B634" s="37" t="s">
        <v>1</v>
      </c>
      <c r="C634" s="37"/>
      <c r="D634" s="37"/>
      <c r="E634" s="37"/>
      <c r="F634" s="37"/>
    </row>
    <row r="635" spans="2:6" x14ac:dyDescent="0.25">
      <c r="B635" s="16" t="s">
        <v>0</v>
      </c>
      <c r="C635" s="16"/>
      <c r="D635" s="16"/>
      <c r="E635" s="16"/>
      <c r="F635" s="16"/>
    </row>
    <row r="636" spans="2:6" x14ac:dyDescent="0.25">
      <c r="B636" s="17"/>
      <c r="C636" s="38" t="s">
        <v>25</v>
      </c>
      <c r="D636" s="38"/>
      <c r="E636" s="17">
        <v>1060.7</v>
      </c>
      <c r="F636" s="17" t="s">
        <v>26</v>
      </c>
    </row>
    <row r="638" spans="2:6" ht="45" x14ac:dyDescent="0.25">
      <c r="B638" s="1" t="s">
        <v>2</v>
      </c>
      <c r="C638" s="1" t="s">
        <v>4</v>
      </c>
      <c r="D638" s="1" t="s">
        <v>3</v>
      </c>
      <c r="E638" s="1" t="s">
        <v>447</v>
      </c>
      <c r="F638" s="1" t="s">
        <v>5</v>
      </c>
    </row>
    <row r="639" spans="2:6" x14ac:dyDescent="0.25">
      <c r="B639" s="1"/>
      <c r="C639" s="1"/>
      <c r="D639" s="1"/>
      <c r="E639" s="1"/>
      <c r="F639" s="1"/>
    </row>
    <row r="640" spans="2:6" x14ac:dyDescent="0.25">
      <c r="B640" s="3" t="s">
        <v>6</v>
      </c>
      <c r="C640" s="1"/>
      <c r="D640" s="1"/>
      <c r="E640" s="1"/>
      <c r="F640" s="1"/>
    </row>
    <row r="641" spans="2:6" x14ac:dyDescent="0.25">
      <c r="B641" s="5" t="s">
        <v>7</v>
      </c>
      <c r="C641" s="1"/>
      <c r="D641" s="1"/>
      <c r="E641" s="1"/>
      <c r="F641" s="5">
        <v>2.0099999999999998</v>
      </c>
    </row>
    <row r="642" spans="2:6" x14ac:dyDescent="0.25">
      <c r="B642" s="5" t="s">
        <v>8</v>
      </c>
      <c r="C642" s="1"/>
      <c r="D642" s="1"/>
      <c r="E642" s="1"/>
      <c r="F642" s="5">
        <v>5.34</v>
      </c>
    </row>
    <row r="643" spans="2:6" x14ac:dyDescent="0.25">
      <c r="B643" s="15" t="s">
        <v>30</v>
      </c>
      <c r="C643" s="1"/>
      <c r="D643" s="1"/>
      <c r="E643" s="1"/>
      <c r="F643" s="5">
        <v>0.06</v>
      </c>
    </row>
    <row r="644" spans="2:6" ht="24.75" x14ac:dyDescent="0.25">
      <c r="B644" s="5" t="s">
        <v>11</v>
      </c>
      <c r="C644" s="1"/>
      <c r="D644" s="1"/>
      <c r="E644" s="1"/>
      <c r="F644" s="5">
        <v>0.55000000000000004</v>
      </c>
    </row>
    <row r="645" spans="2:6" ht="24.75" x14ac:dyDescent="0.25">
      <c r="B645" s="5" t="s">
        <v>12</v>
      </c>
      <c r="C645" s="1"/>
      <c r="D645" s="1"/>
      <c r="E645" s="1"/>
      <c r="F645" s="5">
        <v>0.53</v>
      </c>
    </row>
    <row r="646" spans="2:6" ht="24.75" x14ac:dyDescent="0.25">
      <c r="B646" s="5" t="s">
        <v>13</v>
      </c>
      <c r="C646" s="1"/>
      <c r="D646" s="1"/>
      <c r="E646" s="1"/>
      <c r="F646" s="5">
        <v>0.19</v>
      </c>
    </row>
    <row r="647" spans="2:6" ht="24.75" x14ac:dyDescent="0.25">
      <c r="B647" s="5" t="s">
        <v>14</v>
      </c>
      <c r="C647" s="1"/>
      <c r="D647" s="1"/>
      <c r="E647" s="1"/>
      <c r="F647" s="5">
        <v>1.25</v>
      </c>
    </row>
    <row r="648" spans="2:6" ht="24.75" x14ac:dyDescent="0.25">
      <c r="B648" s="5" t="s">
        <v>9</v>
      </c>
      <c r="C648" s="1"/>
      <c r="D648" s="1"/>
      <c r="E648" s="1"/>
      <c r="F648" s="5">
        <v>0.26</v>
      </c>
    </row>
    <row r="649" spans="2:6" ht="24.75" x14ac:dyDescent="0.25">
      <c r="B649" s="5" t="s">
        <v>15</v>
      </c>
      <c r="C649" s="1"/>
      <c r="D649" s="1"/>
      <c r="E649" s="1"/>
      <c r="F649" s="5">
        <v>0.27</v>
      </c>
    </row>
    <row r="650" spans="2:6" ht="24.75" x14ac:dyDescent="0.25">
      <c r="B650" s="5" t="s">
        <v>16</v>
      </c>
      <c r="C650" s="1"/>
      <c r="D650" s="1"/>
      <c r="E650" s="1"/>
      <c r="F650" s="5">
        <v>0.28999999999999998</v>
      </c>
    </row>
    <row r="651" spans="2:6" x14ac:dyDescent="0.25">
      <c r="B651" s="5" t="s">
        <v>17</v>
      </c>
      <c r="C651" s="1"/>
      <c r="D651" s="1"/>
      <c r="E651" s="1"/>
      <c r="F651" s="5">
        <v>0.32</v>
      </c>
    </row>
    <row r="652" spans="2:6" x14ac:dyDescent="0.25">
      <c r="B652" s="5" t="s">
        <v>18</v>
      </c>
      <c r="C652" s="1"/>
      <c r="D652" s="1"/>
      <c r="E652" s="1"/>
      <c r="F652" s="5">
        <v>1.97</v>
      </c>
    </row>
    <row r="653" spans="2:6" x14ac:dyDescent="0.25">
      <c r="B653" s="5" t="s">
        <v>19</v>
      </c>
      <c r="C653" s="1"/>
      <c r="D653" s="1"/>
      <c r="E653" s="1"/>
      <c r="F653" s="5">
        <v>3.51</v>
      </c>
    </row>
    <row r="654" spans="2:6" x14ac:dyDescent="0.25">
      <c r="B654" s="10" t="s">
        <v>20</v>
      </c>
      <c r="C654" s="1"/>
      <c r="D654" s="1"/>
      <c r="E654" s="1"/>
      <c r="F654" s="4">
        <f>SUM(F641:F653)</f>
        <v>16.549999999999997</v>
      </c>
    </row>
    <row r="655" spans="2:6" x14ac:dyDescent="0.25">
      <c r="B655" s="3" t="s">
        <v>21</v>
      </c>
      <c r="C655" s="1"/>
      <c r="D655" s="1"/>
      <c r="E655" s="1"/>
      <c r="F655" s="1"/>
    </row>
    <row r="656" spans="2:6" x14ac:dyDescent="0.25">
      <c r="B656" s="15" t="s">
        <v>252</v>
      </c>
      <c r="C656" s="1" t="s">
        <v>256</v>
      </c>
      <c r="D656" s="1">
        <v>3</v>
      </c>
      <c r="E656" s="1">
        <v>120</v>
      </c>
      <c r="F656" s="24">
        <f>E656/1060.7*1000/12</f>
        <v>9.4277364004902413</v>
      </c>
    </row>
    <row r="657" spans="2:6" x14ac:dyDescent="0.25">
      <c r="B657" s="15" t="s">
        <v>254</v>
      </c>
      <c r="C657" s="1" t="s">
        <v>26</v>
      </c>
      <c r="D657" s="1">
        <v>38</v>
      </c>
      <c r="E657" s="1">
        <v>23</v>
      </c>
      <c r="F657" s="24">
        <f t="shared" ref="F657:F667" si="15">E657/1060.7*1000/12</f>
        <v>1.8069828100939631</v>
      </c>
    </row>
    <row r="658" spans="2:6" x14ac:dyDescent="0.25">
      <c r="B658" s="1"/>
      <c r="C658" s="1"/>
      <c r="D658" s="1"/>
      <c r="E658" s="1"/>
      <c r="F658" s="24">
        <f t="shared" si="15"/>
        <v>0</v>
      </c>
    </row>
    <row r="659" spans="2:6" x14ac:dyDescent="0.25">
      <c r="B659" s="1"/>
      <c r="C659" s="1"/>
      <c r="D659" s="1"/>
      <c r="E659" s="1"/>
      <c r="F659" s="24">
        <f t="shared" si="15"/>
        <v>0</v>
      </c>
    </row>
    <row r="660" spans="2:6" x14ac:dyDescent="0.25">
      <c r="B660" s="1"/>
      <c r="C660" s="1"/>
      <c r="D660" s="1"/>
      <c r="E660" s="1"/>
      <c r="F660" s="24">
        <f t="shared" si="15"/>
        <v>0</v>
      </c>
    </row>
    <row r="661" spans="2:6" x14ac:dyDescent="0.25">
      <c r="B661" s="1"/>
      <c r="C661" s="1"/>
      <c r="D661" s="1"/>
      <c r="E661" s="1"/>
      <c r="F661" s="24">
        <f t="shared" si="15"/>
        <v>0</v>
      </c>
    </row>
    <row r="662" spans="2:6" x14ac:dyDescent="0.25">
      <c r="B662" s="1"/>
      <c r="C662" s="1"/>
      <c r="D662" s="1"/>
      <c r="E662" s="1"/>
      <c r="F662" s="24">
        <f t="shared" si="15"/>
        <v>0</v>
      </c>
    </row>
    <row r="663" spans="2:6" x14ac:dyDescent="0.25">
      <c r="B663" s="1"/>
      <c r="C663" s="1"/>
      <c r="D663" s="1"/>
      <c r="E663" s="1"/>
      <c r="F663" s="24">
        <f t="shared" si="15"/>
        <v>0</v>
      </c>
    </row>
    <row r="664" spans="2:6" x14ac:dyDescent="0.25">
      <c r="B664" s="1"/>
      <c r="C664" s="1"/>
      <c r="D664" s="1"/>
      <c r="E664" s="1"/>
      <c r="F664" s="24">
        <f t="shared" si="15"/>
        <v>0</v>
      </c>
    </row>
    <row r="665" spans="2:6" x14ac:dyDescent="0.25">
      <c r="B665" s="1"/>
      <c r="C665" s="1"/>
      <c r="D665" s="1"/>
      <c r="E665" s="1"/>
      <c r="F665" s="24">
        <f t="shared" si="15"/>
        <v>0</v>
      </c>
    </row>
    <row r="666" spans="2:6" x14ac:dyDescent="0.25">
      <c r="B666" s="1"/>
      <c r="C666" s="1"/>
      <c r="D666" s="1"/>
      <c r="E666" s="1"/>
      <c r="F666" s="24">
        <f t="shared" si="15"/>
        <v>0</v>
      </c>
    </row>
    <row r="667" spans="2:6" x14ac:dyDescent="0.25">
      <c r="B667" s="1"/>
      <c r="C667" s="1"/>
      <c r="D667" s="1"/>
      <c r="E667" s="1"/>
      <c r="F667" s="24">
        <f t="shared" si="15"/>
        <v>0</v>
      </c>
    </row>
    <row r="668" spans="2:6" x14ac:dyDescent="0.25">
      <c r="B668" s="10" t="s">
        <v>20</v>
      </c>
      <c r="C668" s="1"/>
      <c r="D668" s="1"/>
      <c r="E668" s="4">
        <f>SUM(E656:E667)</f>
        <v>143</v>
      </c>
      <c r="F668" s="22">
        <f>SUM(F656:F667)</f>
        <v>11.234719210584204</v>
      </c>
    </row>
    <row r="669" spans="2:6" x14ac:dyDescent="0.25">
      <c r="B669" s="4" t="s">
        <v>22</v>
      </c>
      <c r="C669" s="6"/>
      <c r="D669" s="6"/>
      <c r="E669" s="6"/>
      <c r="F669" s="23">
        <f>F654+F668</f>
        <v>27.7847192105842</v>
      </c>
    </row>
    <row r="670" spans="2:6" x14ac:dyDescent="0.25">
      <c r="B670" s="7"/>
      <c r="C670" s="7"/>
      <c r="D670" s="7"/>
      <c r="E670" s="7"/>
      <c r="F670" s="7"/>
    </row>
    <row r="671" spans="2:6" x14ac:dyDescent="0.25">
      <c r="B671" s="18"/>
      <c r="C671" s="18"/>
      <c r="D671" s="18"/>
      <c r="E671" s="18"/>
      <c r="F671" s="18"/>
    </row>
    <row r="672" spans="2:6" x14ac:dyDescent="0.25">
      <c r="B672" s="18"/>
      <c r="C672" s="18"/>
      <c r="D672" s="18"/>
      <c r="E672" s="18"/>
      <c r="F672" s="18"/>
    </row>
    <row r="673" spans="2:6" x14ac:dyDescent="0.25">
      <c r="B673" s="39" t="s">
        <v>23</v>
      </c>
      <c r="C673" s="38"/>
      <c r="D673" s="38"/>
      <c r="E673" s="39" t="s">
        <v>24</v>
      </c>
      <c r="F673" s="38"/>
    </row>
    <row r="675" spans="2:6" ht="34.15" customHeight="1" x14ac:dyDescent="0.25">
      <c r="B675" s="37" t="s">
        <v>185</v>
      </c>
      <c r="C675" s="37"/>
      <c r="D675" s="37"/>
      <c r="E675" s="37"/>
      <c r="F675" s="37"/>
    </row>
    <row r="676" spans="2:6" ht="29.45" customHeight="1" x14ac:dyDescent="0.25">
      <c r="B676" s="37" t="s">
        <v>1</v>
      </c>
      <c r="C676" s="37"/>
      <c r="D676" s="37"/>
      <c r="E676" s="37"/>
      <c r="F676" s="37"/>
    </row>
    <row r="677" spans="2:6" x14ac:dyDescent="0.25">
      <c r="B677" s="16" t="s">
        <v>0</v>
      </c>
      <c r="C677" s="16"/>
      <c r="D677" s="16"/>
      <c r="E677" s="16"/>
      <c r="F677" s="16"/>
    </row>
    <row r="678" spans="2:6" x14ac:dyDescent="0.25">
      <c r="B678" s="17"/>
      <c r="C678" s="38" t="s">
        <v>25</v>
      </c>
      <c r="D678" s="38"/>
      <c r="E678" s="17">
        <v>738.7</v>
      </c>
      <c r="F678" s="17" t="s">
        <v>26</v>
      </c>
    </row>
    <row r="680" spans="2:6" ht="45" x14ac:dyDescent="0.25">
      <c r="B680" s="1" t="s">
        <v>2</v>
      </c>
      <c r="C680" s="1" t="s">
        <v>4</v>
      </c>
      <c r="D680" s="1" t="s">
        <v>3</v>
      </c>
      <c r="E680" s="1" t="s">
        <v>447</v>
      </c>
      <c r="F680" s="1" t="s">
        <v>5</v>
      </c>
    </row>
    <row r="681" spans="2:6" x14ac:dyDescent="0.25">
      <c r="B681" s="1"/>
      <c r="C681" s="1"/>
      <c r="D681" s="1"/>
      <c r="E681" s="1"/>
      <c r="F681" s="1"/>
    </row>
    <row r="682" spans="2:6" x14ac:dyDescent="0.25">
      <c r="B682" s="3" t="s">
        <v>6</v>
      </c>
      <c r="C682" s="1"/>
      <c r="D682" s="1"/>
      <c r="E682" s="1"/>
      <c r="F682" s="1"/>
    </row>
    <row r="683" spans="2:6" x14ac:dyDescent="0.25">
      <c r="B683" s="5" t="s">
        <v>7</v>
      </c>
      <c r="C683" s="1"/>
      <c r="D683" s="1"/>
      <c r="E683" s="1"/>
      <c r="F683" s="5">
        <v>2.0099999999999998</v>
      </c>
    </row>
    <row r="684" spans="2:6" x14ac:dyDescent="0.25">
      <c r="B684" s="5" t="s">
        <v>8</v>
      </c>
      <c r="C684" s="1"/>
      <c r="D684" s="1"/>
      <c r="E684" s="1"/>
      <c r="F684" s="5">
        <v>5.34</v>
      </c>
    </row>
    <row r="685" spans="2:6" ht="24.75" x14ac:dyDescent="0.25">
      <c r="B685" s="5" t="s">
        <v>11</v>
      </c>
      <c r="C685" s="1"/>
      <c r="D685" s="1"/>
      <c r="E685" s="1"/>
      <c r="F685" s="5">
        <v>0.55000000000000004</v>
      </c>
    </row>
    <row r="686" spans="2:6" ht="24.75" x14ac:dyDescent="0.25">
      <c r="B686" s="5" t="s">
        <v>12</v>
      </c>
      <c r="C686" s="1"/>
      <c r="D686" s="1"/>
      <c r="E686" s="1"/>
      <c r="F686" s="5">
        <v>0.53</v>
      </c>
    </row>
    <row r="687" spans="2:6" ht="24.75" x14ac:dyDescent="0.25">
      <c r="B687" s="5" t="s">
        <v>13</v>
      </c>
      <c r="C687" s="1"/>
      <c r="D687" s="1"/>
      <c r="E687" s="1"/>
      <c r="F687" s="5">
        <v>0.19</v>
      </c>
    </row>
    <row r="688" spans="2:6" ht="24.75" x14ac:dyDescent="0.25">
      <c r="B688" s="5" t="s">
        <v>14</v>
      </c>
      <c r="C688" s="1"/>
      <c r="D688" s="1"/>
      <c r="E688" s="1"/>
      <c r="F688" s="5">
        <v>1.25</v>
      </c>
    </row>
    <row r="689" spans="2:6" ht="24.75" x14ac:dyDescent="0.25">
      <c r="B689" s="5" t="s">
        <v>9</v>
      </c>
      <c r="C689" s="1"/>
      <c r="D689" s="1"/>
      <c r="E689" s="1"/>
      <c r="F689" s="5">
        <v>0.26</v>
      </c>
    </row>
    <row r="690" spans="2:6" ht="24.75" x14ac:dyDescent="0.25">
      <c r="B690" s="5" t="s">
        <v>15</v>
      </c>
      <c r="C690" s="1"/>
      <c r="D690" s="1"/>
      <c r="E690" s="1"/>
      <c r="F690" s="5">
        <v>0.27</v>
      </c>
    </row>
    <row r="691" spans="2:6" ht="24.75" x14ac:dyDescent="0.25">
      <c r="B691" s="5" t="s">
        <v>16</v>
      </c>
      <c r="C691" s="1"/>
      <c r="D691" s="1"/>
      <c r="E691" s="1"/>
      <c r="F691" s="5">
        <v>0.28999999999999998</v>
      </c>
    </row>
    <row r="692" spans="2:6" x14ac:dyDescent="0.25">
      <c r="B692" s="5" t="s">
        <v>17</v>
      </c>
      <c r="C692" s="1"/>
      <c r="D692" s="1"/>
      <c r="E692" s="1"/>
      <c r="F692" s="5">
        <v>0.32</v>
      </c>
    </row>
    <row r="693" spans="2:6" x14ac:dyDescent="0.25">
      <c r="B693" s="5" t="s">
        <v>18</v>
      </c>
      <c r="C693" s="1"/>
      <c r="D693" s="1"/>
      <c r="E693" s="1"/>
      <c r="F693" s="5">
        <v>1.97</v>
      </c>
    </row>
    <row r="694" spans="2:6" x14ac:dyDescent="0.25">
      <c r="B694" s="5" t="s">
        <v>19</v>
      </c>
      <c r="C694" s="1"/>
      <c r="D694" s="1"/>
      <c r="E694" s="1"/>
      <c r="F694" s="5">
        <v>3.51</v>
      </c>
    </row>
    <row r="695" spans="2:6" x14ac:dyDescent="0.25">
      <c r="B695" s="10" t="s">
        <v>20</v>
      </c>
      <c r="C695" s="1"/>
      <c r="D695" s="1"/>
      <c r="E695" s="1"/>
      <c r="F695" s="4">
        <f>SUM(F683:F694)</f>
        <v>16.489999999999998</v>
      </c>
    </row>
    <row r="696" spans="2:6" x14ac:dyDescent="0.25">
      <c r="B696" s="3" t="s">
        <v>21</v>
      </c>
      <c r="C696" s="1"/>
      <c r="D696" s="1"/>
      <c r="E696" s="1"/>
      <c r="F696" s="1"/>
    </row>
    <row r="697" spans="2:6" x14ac:dyDescent="0.25">
      <c r="B697" s="15" t="s">
        <v>269</v>
      </c>
      <c r="C697" s="1" t="s">
        <v>261</v>
      </c>
      <c r="D697" s="1">
        <v>4</v>
      </c>
      <c r="E697" s="1">
        <v>18</v>
      </c>
      <c r="F697" s="24">
        <f>E697/738.7*1000/12</f>
        <v>2.0305942872614051</v>
      </c>
    </row>
    <row r="698" spans="2:6" x14ac:dyDescent="0.25">
      <c r="B698" s="15" t="s">
        <v>253</v>
      </c>
      <c r="C698" s="1" t="s">
        <v>26</v>
      </c>
      <c r="D698" s="1">
        <v>74</v>
      </c>
      <c r="E698" s="1">
        <v>52</v>
      </c>
      <c r="F698" s="24">
        <f t="shared" ref="F698:F708" si="16">E698/738.7*1000/12</f>
        <v>5.8661612743107243</v>
      </c>
    </row>
    <row r="699" spans="2:6" x14ac:dyDescent="0.25">
      <c r="B699" s="15" t="s">
        <v>254</v>
      </c>
      <c r="C699" s="1" t="s">
        <v>26</v>
      </c>
      <c r="D699" s="1">
        <v>36</v>
      </c>
      <c r="E699" s="1">
        <v>22</v>
      </c>
      <c r="F699" s="24">
        <f t="shared" si="16"/>
        <v>2.4818374622083836</v>
      </c>
    </row>
    <row r="700" spans="2:6" x14ac:dyDescent="0.25">
      <c r="B700" s="15" t="s">
        <v>257</v>
      </c>
      <c r="C700" s="1" t="s">
        <v>26</v>
      </c>
      <c r="D700" s="1">
        <v>22</v>
      </c>
      <c r="E700" s="1">
        <v>26.5</v>
      </c>
      <c r="F700" s="24">
        <f t="shared" si="16"/>
        <v>2.9894860340237357</v>
      </c>
    </row>
    <row r="701" spans="2:6" x14ac:dyDescent="0.25">
      <c r="B701" s="15" t="s">
        <v>255</v>
      </c>
      <c r="C701" s="1" t="s">
        <v>26</v>
      </c>
      <c r="D701" s="1">
        <v>2.4</v>
      </c>
      <c r="E701" s="1">
        <v>6</v>
      </c>
      <c r="F701" s="24">
        <f t="shared" si="16"/>
        <v>0.67686476242046834</v>
      </c>
    </row>
    <row r="702" spans="2:6" x14ac:dyDescent="0.25">
      <c r="B702" s="15" t="s">
        <v>260</v>
      </c>
      <c r="C702" s="1" t="s">
        <v>256</v>
      </c>
      <c r="D702" s="1">
        <v>1</v>
      </c>
      <c r="E702" s="1">
        <v>55</v>
      </c>
      <c r="F702" s="24">
        <f t="shared" si="16"/>
        <v>6.2045936555209593</v>
      </c>
    </row>
    <row r="703" spans="2:6" x14ac:dyDescent="0.25">
      <c r="B703" s="1"/>
      <c r="C703" s="1"/>
      <c r="D703" s="1"/>
      <c r="E703" s="1"/>
      <c r="F703" s="24">
        <f t="shared" si="16"/>
        <v>0</v>
      </c>
    </row>
    <row r="704" spans="2:6" x14ac:dyDescent="0.25">
      <c r="B704" s="1"/>
      <c r="C704" s="1"/>
      <c r="D704" s="1"/>
      <c r="E704" s="1"/>
      <c r="F704" s="24">
        <f t="shared" si="16"/>
        <v>0</v>
      </c>
    </row>
    <row r="705" spans="2:6" x14ac:dyDescent="0.25">
      <c r="B705" s="1"/>
      <c r="C705" s="1"/>
      <c r="D705" s="1"/>
      <c r="E705" s="1"/>
      <c r="F705" s="24">
        <f t="shared" si="16"/>
        <v>0</v>
      </c>
    </row>
    <row r="706" spans="2:6" x14ac:dyDescent="0.25">
      <c r="B706" s="1"/>
      <c r="C706" s="1"/>
      <c r="D706" s="1"/>
      <c r="E706" s="1"/>
      <c r="F706" s="24">
        <f t="shared" si="16"/>
        <v>0</v>
      </c>
    </row>
    <row r="707" spans="2:6" x14ac:dyDescent="0.25">
      <c r="B707" s="1"/>
      <c r="C707" s="1"/>
      <c r="D707" s="1"/>
      <c r="E707" s="1"/>
      <c r="F707" s="24">
        <f t="shared" si="16"/>
        <v>0</v>
      </c>
    </row>
    <row r="708" spans="2:6" x14ac:dyDescent="0.25">
      <c r="B708" s="1"/>
      <c r="C708" s="1"/>
      <c r="D708" s="1"/>
      <c r="E708" s="1"/>
      <c r="F708" s="24">
        <f t="shared" si="16"/>
        <v>0</v>
      </c>
    </row>
    <row r="709" spans="2:6" x14ac:dyDescent="0.25">
      <c r="B709" s="10" t="s">
        <v>20</v>
      </c>
      <c r="C709" s="1"/>
      <c r="D709" s="1"/>
      <c r="E709" s="4">
        <f>SUM(E697:E708)</f>
        <v>179.5</v>
      </c>
      <c r="F709" s="22">
        <f>SUM(F697:F708)</f>
        <v>20.249537475745676</v>
      </c>
    </row>
    <row r="710" spans="2:6" x14ac:dyDescent="0.25">
      <c r="B710" s="4" t="s">
        <v>22</v>
      </c>
      <c r="C710" s="6"/>
      <c r="D710" s="6"/>
      <c r="E710" s="6"/>
      <c r="F710" s="23">
        <f>F695+F709</f>
        <v>36.739537475745678</v>
      </c>
    </row>
    <row r="711" spans="2:6" x14ac:dyDescent="0.25">
      <c r="B711" s="7"/>
      <c r="C711" s="7"/>
      <c r="D711" s="7"/>
      <c r="E711" s="7"/>
      <c r="F711" s="7"/>
    </row>
    <row r="712" spans="2:6" x14ac:dyDescent="0.25">
      <c r="B712" s="18"/>
      <c r="C712" s="18"/>
      <c r="D712" s="18"/>
      <c r="E712" s="18"/>
      <c r="F712" s="18"/>
    </row>
    <row r="713" spans="2:6" x14ac:dyDescent="0.25">
      <c r="B713" s="18"/>
      <c r="C713" s="18"/>
      <c r="D713" s="18"/>
      <c r="E713" s="18"/>
      <c r="F713" s="18"/>
    </row>
    <row r="714" spans="2:6" x14ac:dyDescent="0.25">
      <c r="B714" s="39" t="s">
        <v>23</v>
      </c>
      <c r="C714" s="38"/>
      <c r="D714" s="38"/>
      <c r="E714" s="39" t="s">
        <v>24</v>
      </c>
      <c r="F714" s="38"/>
    </row>
    <row r="717" spans="2:6" ht="35.450000000000003" customHeight="1" x14ac:dyDescent="0.25">
      <c r="B717" s="37" t="s">
        <v>186</v>
      </c>
      <c r="C717" s="37"/>
      <c r="D717" s="37"/>
      <c r="E717" s="37"/>
      <c r="F717" s="37"/>
    </row>
    <row r="718" spans="2:6" ht="33" customHeight="1" x14ac:dyDescent="0.25">
      <c r="B718" s="37" t="s">
        <v>1</v>
      </c>
      <c r="C718" s="37"/>
      <c r="D718" s="37"/>
      <c r="E718" s="37"/>
      <c r="F718" s="37"/>
    </row>
    <row r="719" spans="2:6" x14ac:dyDescent="0.25">
      <c r="B719" s="16" t="s">
        <v>0</v>
      </c>
      <c r="C719" s="16"/>
      <c r="D719" s="16"/>
      <c r="E719" s="16"/>
      <c r="F719" s="16"/>
    </row>
    <row r="720" spans="2:6" x14ac:dyDescent="0.25">
      <c r="B720" s="17"/>
      <c r="C720" s="38" t="s">
        <v>25</v>
      </c>
      <c r="D720" s="38"/>
      <c r="E720" s="17">
        <v>2052.9</v>
      </c>
      <c r="F720" s="17" t="s">
        <v>26</v>
      </c>
    </row>
    <row r="722" spans="2:6" ht="45" x14ac:dyDescent="0.25">
      <c r="B722" s="1" t="s">
        <v>2</v>
      </c>
      <c r="C722" s="1" t="s">
        <v>4</v>
      </c>
      <c r="D722" s="1" t="s">
        <v>3</v>
      </c>
      <c r="E722" s="1" t="s">
        <v>447</v>
      </c>
      <c r="F722" s="1" t="s">
        <v>5</v>
      </c>
    </row>
    <row r="723" spans="2:6" x14ac:dyDescent="0.25">
      <c r="B723" s="1"/>
      <c r="C723" s="1"/>
      <c r="D723" s="1"/>
      <c r="E723" s="1"/>
      <c r="F723" s="1"/>
    </row>
    <row r="724" spans="2:6" x14ac:dyDescent="0.25">
      <c r="B724" s="3" t="s">
        <v>6</v>
      </c>
      <c r="C724" s="1"/>
      <c r="D724" s="1"/>
      <c r="E724" s="1"/>
      <c r="F724" s="1"/>
    </row>
    <row r="725" spans="2:6" x14ac:dyDescent="0.25">
      <c r="B725" s="5" t="s">
        <v>7</v>
      </c>
      <c r="C725" s="1"/>
      <c r="D725" s="1"/>
      <c r="E725" s="1"/>
      <c r="F725" s="5">
        <v>2.0099999999999998</v>
      </c>
    </row>
    <row r="726" spans="2:6" x14ac:dyDescent="0.25">
      <c r="B726" s="5" t="s">
        <v>8</v>
      </c>
      <c r="C726" s="1"/>
      <c r="D726" s="1"/>
      <c r="E726" s="1"/>
      <c r="F726" s="5">
        <v>5.34</v>
      </c>
    </row>
    <row r="727" spans="2:6" x14ac:dyDescent="0.25">
      <c r="B727" s="15" t="s">
        <v>30</v>
      </c>
      <c r="C727" s="1"/>
      <c r="D727" s="1"/>
      <c r="E727" s="1"/>
      <c r="F727" s="5">
        <v>0.06</v>
      </c>
    </row>
    <row r="728" spans="2:6" ht="24.75" x14ac:dyDescent="0.25">
      <c r="B728" s="5" t="s">
        <v>11</v>
      </c>
      <c r="C728" s="1"/>
      <c r="D728" s="1"/>
      <c r="E728" s="1"/>
      <c r="F728" s="5">
        <v>0.55000000000000004</v>
      </c>
    </row>
    <row r="729" spans="2:6" ht="24.75" x14ac:dyDescent="0.25">
      <c r="B729" s="5" t="s">
        <v>12</v>
      </c>
      <c r="C729" s="1"/>
      <c r="D729" s="1"/>
      <c r="E729" s="1"/>
      <c r="F729" s="5">
        <v>0.53</v>
      </c>
    </row>
    <row r="730" spans="2:6" ht="24.75" x14ac:dyDescent="0.25">
      <c r="B730" s="5" t="s">
        <v>13</v>
      </c>
      <c r="C730" s="1"/>
      <c r="D730" s="1"/>
      <c r="E730" s="1"/>
      <c r="F730" s="5">
        <v>0.19</v>
      </c>
    </row>
    <row r="731" spans="2:6" ht="24.75" x14ac:dyDescent="0.25">
      <c r="B731" s="5" t="s">
        <v>14</v>
      </c>
      <c r="C731" s="1"/>
      <c r="D731" s="1"/>
      <c r="E731" s="1"/>
      <c r="F731" s="5">
        <v>1.25</v>
      </c>
    </row>
    <row r="732" spans="2:6" ht="24.75" x14ac:dyDescent="0.25">
      <c r="B732" s="5" t="s">
        <v>9</v>
      </c>
      <c r="C732" s="1"/>
      <c r="D732" s="1"/>
      <c r="E732" s="1"/>
      <c r="F732" s="5">
        <v>0.26</v>
      </c>
    </row>
    <row r="733" spans="2:6" ht="24.75" x14ac:dyDescent="0.25">
      <c r="B733" s="5" t="s">
        <v>15</v>
      </c>
      <c r="C733" s="1"/>
      <c r="D733" s="1"/>
      <c r="E733" s="1"/>
      <c r="F733" s="5">
        <v>0.27</v>
      </c>
    </row>
    <row r="734" spans="2:6" ht="24.75" x14ac:dyDescent="0.25">
      <c r="B734" s="5" t="s">
        <v>16</v>
      </c>
      <c r="C734" s="1"/>
      <c r="D734" s="1"/>
      <c r="E734" s="1"/>
      <c r="F734" s="5">
        <v>0.28999999999999998</v>
      </c>
    </row>
    <row r="735" spans="2:6" x14ac:dyDescent="0.25">
      <c r="B735" s="5" t="s">
        <v>17</v>
      </c>
      <c r="C735" s="1"/>
      <c r="D735" s="1"/>
      <c r="E735" s="1"/>
      <c r="F735" s="5">
        <v>0.32</v>
      </c>
    </row>
    <row r="736" spans="2:6" x14ac:dyDescent="0.25">
      <c r="B736" s="5" t="s">
        <v>18</v>
      </c>
      <c r="C736" s="1"/>
      <c r="D736" s="1"/>
      <c r="E736" s="1"/>
      <c r="F736" s="5">
        <v>1.97</v>
      </c>
    </row>
    <row r="737" spans="2:6" x14ac:dyDescent="0.25">
      <c r="B737" s="5" t="s">
        <v>19</v>
      </c>
      <c r="C737" s="1"/>
      <c r="D737" s="1"/>
      <c r="E737" s="1"/>
      <c r="F737" s="5">
        <v>3.51</v>
      </c>
    </row>
    <row r="738" spans="2:6" x14ac:dyDescent="0.25">
      <c r="B738" s="10" t="s">
        <v>20</v>
      </c>
      <c r="C738" s="1"/>
      <c r="D738" s="1"/>
      <c r="E738" s="1"/>
      <c r="F738" s="4">
        <f>SUM(F725:F737)</f>
        <v>16.549999999999997</v>
      </c>
    </row>
    <row r="739" spans="2:6" x14ac:dyDescent="0.25">
      <c r="B739" s="3" t="s">
        <v>21</v>
      </c>
      <c r="C739" s="1"/>
      <c r="D739" s="1"/>
      <c r="E739" s="1"/>
      <c r="F739" s="1"/>
    </row>
    <row r="740" spans="2:6" x14ac:dyDescent="0.25">
      <c r="B740" s="15" t="s">
        <v>253</v>
      </c>
      <c r="C740" s="1" t="s">
        <v>26</v>
      </c>
      <c r="D740" s="1">
        <v>86</v>
      </c>
      <c r="E740" s="1">
        <v>60</v>
      </c>
      <c r="F740" s="24">
        <f>E740/2052.9*1000/12</f>
        <v>2.4355789371133518</v>
      </c>
    </row>
    <row r="741" spans="2:6" x14ac:dyDescent="0.25">
      <c r="B741" s="15" t="s">
        <v>254</v>
      </c>
      <c r="C741" s="1" t="s">
        <v>26</v>
      </c>
      <c r="D741" s="1">
        <v>64</v>
      </c>
      <c r="E741" s="1">
        <v>38.5</v>
      </c>
      <c r="F741" s="24">
        <f t="shared" ref="F741:F751" si="17">E741/2052.9*1000/12</f>
        <v>1.5628298179810673</v>
      </c>
    </row>
    <row r="742" spans="2:6" x14ac:dyDescent="0.25">
      <c r="B742" s="15" t="s">
        <v>258</v>
      </c>
      <c r="C742" s="1" t="s">
        <v>261</v>
      </c>
      <c r="D742" s="1">
        <v>8</v>
      </c>
      <c r="E742" s="1">
        <v>10.5</v>
      </c>
      <c r="F742" s="24">
        <f t="shared" si="17"/>
        <v>0.42622631399483657</v>
      </c>
    </row>
    <row r="743" spans="2:6" x14ac:dyDescent="0.25">
      <c r="B743" s="15" t="s">
        <v>255</v>
      </c>
      <c r="C743" s="1" t="s">
        <v>26</v>
      </c>
      <c r="D743" s="1">
        <v>2</v>
      </c>
      <c r="E743" s="1">
        <v>5</v>
      </c>
      <c r="F743" s="24">
        <f t="shared" si="17"/>
        <v>0.20296491142611264</v>
      </c>
    </row>
    <row r="744" spans="2:6" x14ac:dyDescent="0.25">
      <c r="B744" s="15" t="s">
        <v>259</v>
      </c>
      <c r="C744" s="1" t="s">
        <v>26</v>
      </c>
      <c r="D744" s="1">
        <v>1.3</v>
      </c>
      <c r="E744" s="1">
        <v>2.6</v>
      </c>
      <c r="F744" s="24">
        <f t="shared" si="17"/>
        <v>0.10554175394157857</v>
      </c>
    </row>
    <row r="745" spans="2:6" x14ac:dyDescent="0.25">
      <c r="B745" s="26" t="s">
        <v>272</v>
      </c>
      <c r="C745" s="1" t="s">
        <v>265</v>
      </c>
      <c r="D745" s="1">
        <v>1</v>
      </c>
      <c r="E745" s="1">
        <v>20</v>
      </c>
      <c r="F745" s="24">
        <f t="shared" si="17"/>
        <v>0.81185964570445057</v>
      </c>
    </row>
    <row r="746" spans="2:6" x14ac:dyDescent="0.25">
      <c r="B746" s="1"/>
      <c r="C746" s="1"/>
      <c r="D746" s="1"/>
      <c r="E746" s="1"/>
      <c r="F746" s="24">
        <f t="shared" si="17"/>
        <v>0</v>
      </c>
    </row>
    <row r="747" spans="2:6" x14ac:dyDescent="0.25">
      <c r="B747" s="1"/>
      <c r="C747" s="1"/>
      <c r="D747" s="1"/>
      <c r="E747" s="1"/>
      <c r="F747" s="24">
        <f t="shared" si="17"/>
        <v>0</v>
      </c>
    </row>
    <row r="748" spans="2:6" x14ac:dyDescent="0.25">
      <c r="B748" s="1"/>
      <c r="C748" s="1"/>
      <c r="D748" s="1"/>
      <c r="E748" s="1"/>
      <c r="F748" s="24">
        <f t="shared" si="17"/>
        <v>0</v>
      </c>
    </row>
    <row r="749" spans="2:6" x14ac:dyDescent="0.25">
      <c r="B749" s="1"/>
      <c r="C749" s="1"/>
      <c r="D749" s="1"/>
      <c r="E749" s="1"/>
      <c r="F749" s="24">
        <f t="shared" si="17"/>
        <v>0</v>
      </c>
    </row>
    <row r="750" spans="2:6" x14ac:dyDescent="0.25">
      <c r="B750" s="1"/>
      <c r="C750" s="1"/>
      <c r="D750" s="1"/>
      <c r="E750" s="1"/>
      <c r="F750" s="24">
        <f t="shared" si="17"/>
        <v>0</v>
      </c>
    </row>
    <row r="751" spans="2:6" x14ac:dyDescent="0.25">
      <c r="B751" s="1"/>
      <c r="C751" s="1"/>
      <c r="D751" s="1"/>
      <c r="E751" s="1"/>
      <c r="F751" s="24">
        <f t="shared" si="17"/>
        <v>0</v>
      </c>
    </row>
    <row r="752" spans="2:6" x14ac:dyDescent="0.25">
      <c r="B752" s="10" t="s">
        <v>20</v>
      </c>
      <c r="C752" s="1"/>
      <c r="D752" s="1"/>
      <c r="E752" s="4">
        <f>SUM(E740:E751)</f>
        <v>136.6</v>
      </c>
      <c r="F752" s="22">
        <f>SUM(F740:F751)</f>
        <v>5.5450013801613975</v>
      </c>
    </row>
    <row r="753" spans="2:6" x14ac:dyDescent="0.25">
      <c r="B753" s="4" t="s">
        <v>22</v>
      </c>
      <c r="C753" s="6"/>
      <c r="D753" s="6"/>
      <c r="E753" s="6"/>
      <c r="F753" s="23">
        <f>F738+F752</f>
        <v>22.095001380161396</v>
      </c>
    </row>
    <row r="754" spans="2:6" x14ac:dyDescent="0.25">
      <c r="B754" s="7"/>
      <c r="C754" s="7"/>
      <c r="D754" s="7"/>
      <c r="E754" s="7"/>
      <c r="F754" s="7"/>
    </row>
    <row r="755" spans="2:6" x14ac:dyDescent="0.25">
      <c r="B755" s="18"/>
      <c r="C755" s="18"/>
      <c r="D755" s="18"/>
      <c r="E755" s="18"/>
      <c r="F755" s="18"/>
    </row>
    <row r="756" spans="2:6" x14ac:dyDescent="0.25">
      <c r="B756" s="18"/>
      <c r="C756" s="18"/>
      <c r="D756" s="18"/>
      <c r="E756" s="18"/>
      <c r="F756" s="18"/>
    </row>
    <row r="757" spans="2:6" x14ac:dyDescent="0.25">
      <c r="B757" s="39" t="s">
        <v>23</v>
      </c>
      <c r="C757" s="38"/>
      <c r="D757" s="38"/>
      <c r="E757" s="39" t="s">
        <v>24</v>
      </c>
      <c r="F757" s="38"/>
    </row>
    <row r="759" spans="2:6" ht="31.9" customHeight="1" x14ac:dyDescent="0.25">
      <c r="B759" s="37" t="s">
        <v>187</v>
      </c>
      <c r="C759" s="37"/>
      <c r="D759" s="37"/>
      <c r="E759" s="37"/>
      <c r="F759" s="37"/>
    </row>
    <row r="760" spans="2:6" ht="27" customHeight="1" x14ac:dyDescent="0.25">
      <c r="B760" s="37" t="s">
        <v>1</v>
      </c>
      <c r="C760" s="37"/>
      <c r="D760" s="37"/>
      <c r="E760" s="37"/>
      <c r="F760" s="37"/>
    </row>
    <row r="761" spans="2:6" x14ac:dyDescent="0.25">
      <c r="B761" s="16" t="s">
        <v>0</v>
      </c>
      <c r="C761" s="16"/>
      <c r="D761" s="16"/>
      <c r="E761" s="16"/>
      <c r="F761" s="16"/>
    </row>
    <row r="762" spans="2:6" x14ac:dyDescent="0.25">
      <c r="B762" s="17"/>
      <c r="C762" s="38" t="s">
        <v>25</v>
      </c>
      <c r="D762" s="38"/>
      <c r="E762" s="17">
        <v>1059.5999999999999</v>
      </c>
      <c r="F762" s="17" t="s">
        <v>26</v>
      </c>
    </row>
    <row r="764" spans="2:6" ht="45" x14ac:dyDescent="0.25">
      <c r="B764" s="1" t="s">
        <v>2</v>
      </c>
      <c r="C764" s="1" t="s">
        <v>4</v>
      </c>
      <c r="D764" s="1" t="s">
        <v>3</v>
      </c>
      <c r="E764" s="1" t="s">
        <v>447</v>
      </c>
      <c r="F764" s="1" t="s">
        <v>5</v>
      </c>
    </row>
    <row r="765" spans="2:6" x14ac:dyDescent="0.25">
      <c r="B765" s="1"/>
      <c r="C765" s="1"/>
      <c r="D765" s="1"/>
      <c r="E765" s="1"/>
      <c r="F765" s="1"/>
    </row>
    <row r="766" spans="2:6" x14ac:dyDescent="0.25">
      <c r="B766" s="3" t="s">
        <v>6</v>
      </c>
      <c r="C766" s="1"/>
      <c r="D766" s="1"/>
      <c r="E766" s="1"/>
      <c r="F766" s="1"/>
    </row>
    <row r="767" spans="2:6" x14ac:dyDescent="0.25">
      <c r="B767" s="5" t="s">
        <v>7</v>
      </c>
      <c r="C767" s="1"/>
      <c r="D767" s="1"/>
      <c r="E767" s="1"/>
      <c r="F767" s="5">
        <v>2.0099999999999998</v>
      </c>
    </row>
    <row r="768" spans="2:6" x14ac:dyDescent="0.25">
      <c r="B768" s="5" t="s">
        <v>8</v>
      </c>
      <c r="C768" s="1"/>
      <c r="D768" s="1"/>
      <c r="E768" s="1"/>
      <c r="F768" s="5">
        <v>5.34</v>
      </c>
    </row>
    <row r="769" spans="2:6" x14ac:dyDescent="0.25">
      <c r="B769" s="15" t="s">
        <v>30</v>
      </c>
      <c r="C769" s="1"/>
      <c r="D769" s="1"/>
      <c r="E769" s="1"/>
      <c r="F769" s="5">
        <v>0.06</v>
      </c>
    </row>
    <row r="770" spans="2:6" ht="24.75" x14ac:dyDescent="0.25">
      <c r="B770" s="5" t="s">
        <v>11</v>
      </c>
      <c r="C770" s="1"/>
      <c r="D770" s="1"/>
      <c r="E770" s="1"/>
      <c r="F770" s="5">
        <v>0.55000000000000004</v>
      </c>
    </row>
    <row r="771" spans="2:6" ht="24.75" x14ac:dyDescent="0.25">
      <c r="B771" s="5" t="s">
        <v>12</v>
      </c>
      <c r="C771" s="1"/>
      <c r="D771" s="1"/>
      <c r="E771" s="1"/>
      <c r="F771" s="5">
        <v>0.53</v>
      </c>
    </row>
    <row r="772" spans="2:6" ht="24.75" x14ac:dyDescent="0.25">
      <c r="B772" s="5" t="s">
        <v>13</v>
      </c>
      <c r="C772" s="1"/>
      <c r="D772" s="1"/>
      <c r="E772" s="1"/>
      <c r="F772" s="5">
        <v>0.19</v>
      </c>
    </row>
    <row r="773" spans="2:6" ht="24.75" x14ac:dyDescent="0.25">
      <c r="B773" s="5" t="s">
        <v>14</v>
      </c>
      <c r="C773" s="1"/>
      <c r="D773" s="1"/>
      <c r="E773" s="1"/>
      <c r="F773" s="5">
        <v>1.25</v>
      </c>
    </row>
    <row r="774" spans="2:6" ht="24.75" x14ac:dyDescent="0.25">
      <c r="B774" s="5" t="s">
        <v>9</v>
      </c>
      <c r="C774" s="1"/>
      <c r="D774" s="1"/>
      <c r="E774" s="1"/>
      <c r="F774" s="5">
        <v>0.26</v>
      </c>
    </row>
    <row r="775" spans="2:6" ht="24.75" x14ac:dyDescent="0.25">
      <c r="B775" s="5" t="s">
        <v>15</v>
      </c>
      <c r="C775" s="1"/>
      <c r="D775" s="1"/>
      <c r="E775" s="1"/>
      <c r="F775" s="5">
        <v>0.27</v>
      </c>
    </row>
    <row r="776" spans="2:6" ht="24.75" x14ac:dyDescent="0.25">
      <c r="B776" s="5" t="s">
        <v>16</v>
      </c>
      <c r="C776" s="1"/>
      <c r="D776" s="1"/>
      <c r="E776" s="1"/>
      <c r="F776" s="5">
        <v>0.28999999999999998</v>
      </c>
    </row>
    <row r="777" spans="2:6" x14ac:dyDescent="0.25">
      <c r="B777" s="5" t="s">
        <v>17</v>
      </c>
      <c r="C777" s="1"/>
      <c r="D777" s="1"/>
      <c r="E777" s="1"/>
      <c r="F777" s="5">
        <v>0.32</v>
      </c>
    </row>
    <row r="778" spans="2:6" x14ac:dyDescent="0.25">
      <c r="B778" s="5" t="s">
        <v>18</v>
      </c>
      <c r="C778" s="1"/>
      <c r="D778" s="1"/>
      <c r="E778" s="1"/>
      <c r="F778" s="5">
        <v>1.97</v>
      </c>
    </row>
    <row r="779" spans="2:6" x14ac:dyDescent="0.25">
      <c r="B779" s="5" t="s">
        <v>19</v>
      </c>
      <c r="C779" s="1"/>
      <c r="D779" s="1"/>
      <c r="E779" s="1"/>
      <c r="F779" s="5">
        <v>3.51</v>
      </c>
    </row>
    <row r="780" spans="2:6" x14ac:dyDescent="0.25">
      <c r="B780" s="10" t="s">
        <v>20</v>
      </c>
      <c r="C780" s="1"/>
      <c r="D780" s="1"/>
      <c r="E780" s="1"/>
      <c r="F780" s="4">
        <f>SUM(F767:F779)</f>
        <v>16.549999999999997</v>
      </c>
    </row>
    <row r="781" spans="2:6" x14ac:dyDescent="0.25">
      <c r="B781" s="3" t="s">
        <v>21</v>
      </c>
      <c r="C781" s="1"/>
      <c r="D781" s="1"/>
      <c r="E781" s="1"/>
      <c r="F781" s="1"/>
    </row>
    <row r="782" spans="2:6" x14ac:dyDescent="0.25">
      <c r="B782" s="15" t="s">
        <v>252</v>
      </c>
      <c r="C782" s="1" t="s">
        <v>256</v>
      </c>
      <c r="D782" s="1">
        <v>2</v>
      </c>
      <c r="E782" s="1">
        <v>80</v>
      </c>
      <c r="F782" s="24">
        <f>E782/1059.6*1000/12</f>
        <v>6.291682395872658</v>
      </c>
    </row>
    <row r="783" spans="2:6" x14ac:dyDescent="0.25">
      <c r="B783" s="15" t="s">
        <v>253</v>
      </c>
      <c r="C783" s="1" t="s">
        <v>26</v>
      </c>
      <c r="D783" s="1">
        <v>120</v>
      </c>
      <c r="E783" s="1">
        <v>84</v>
      </c>
      <c r="F783" s="24">
        <f t="shared" ref="F783:F793" si="18">E783/1059.6*1000/12</f>
        <v>6.606266515666289</v>
      </c>
    </row>
    <row r="784" spans="2:6" x14ac:dyDescent="0.25">
      <c r="B784" s="15" t="s">
        <v>254</v>
      </c>
      <c r="C784" s="1" t="s">
        <v>26</v>
      </c>
      <c r="D784" s="1">
        <v>80</v>
      </c>
      <c r="E784" s="1">
        <v>48</v>
      </c>
      <c r="F784" s="24">
        <f t="shared" si="18"/>
        <v>3.7750094375235945</v>
      </c>
    </row>
    <row r="785" spans="2:6" x14ac:dyDescent="0.25">
      <c r="B785" s="15" t="s">
        <v>258</v>
      </c>
      <c r="C785" s="1" t="s">
        <v>261</v>
      </c>
      <c r="D785" s="1">
        <v>8</v>
      </c>
      <c r="E785" s="1">
        <v>10.5</v>
      </c>
      <c r="F785" s="24">
        <f t="shared" si="18"/>
        <v>0.82578331445828612</v>
      </c>
    </row>
    <row r="786" spans="2:6" x14ac:dyDescent="0.25">
      <c r="B786" s="15" t="s">
        <v>271</v>
      </c>
      <c r="C786" s="1" t="s">
        <v>261</v>
      </c>
      <c r="D786" s="1">
        <v>26</v>
      </c>
      <c r="E786" s="1">
        <v>49.5</v>
      </c>
      <c r="F786" s="24">
        <f t="shared" si="18"/>
        <v>3.8929784824462064</v>
      </c>
    </row>
    <row r="787" spans="2:6" x14ac:dyDescent="0.25">
      <c r="B787" s="15" t="s">
        <v>260</v>
      </c>
      <c r="C787" s="1" t="s">
        <v>256</v>
      </c>
      <c r="D787" s="1">
        <v>1</v>
      </c>
      <c r="E787" s="1">
        <v>55</v>
      </c>
      <c r="F787" s="24">
        <f t="shared" si="18"/>
        <v>4.3255316471624514</v>
      </c>
    </row>
    <row r="788" spans="2:6" x14ac:dyDescent="0.25">
      <c r="B788" s="26" t="s">
        <v>316</v>
      </c>
      <c r="C788" s="1" t="s">
        <v>261</v>
      </c>
      <c r="D788" s="1">
        <v>30</v>
      </c>
      <c r="E788" s="1">
        <v>36</v>
      </c>
      <c r="F788" s="24">
        <f t="shared" si="18"/>
        <v>2.8312570781426953</v>
      </c>
    </row>
    <row r="789" spans="2:6" x14ac:dyDescent="0.25">
      <c r="B789" s="1"/>
      <c r="C789" s="1"/>
      <c r="D789" s="1"/>
      <c r="E789" s="1"/>
      <c r="F789" s="24">
        <f t="shared" si="18"/>
        <v>0</v>
      </c>
    </row>
    <row r="790" spans="2:6" x14ac:dyDescent="0.25">
      <c r="B790" s="1"/>
      <c r="C790" s="1"/>
      <c r="D790" s="1"/>
      <c r="E790" s="1"/>
      <c r="F790" s="24">
        <f t="shared" si="18"/>
        <v>0</v>
      </c>
    </row>
    <row r="791" spans="2:6" x14ac:dyDescent="0.25">
      <c r="B791" s="1"/>
      <c r="C791" s="1"/>
      <c r="D791" s="1"/>
      <c r="E791" s="1"/>
      <c r="F791" s="24">
        <f t="shared" si="18"/>
        <v>0</v>
      </c>
    </row>
    <row r="792" spans="2:6" x14ac:dyDescent="0.25">
      <c r="B792" s="1"/>
      <c r="C792" s="1"/>
      <c r="D792" s="1"/>
      <c r="E792" s="1"/>
      <c r="F792" s="24">
        <f t="shared" si="18"/>
        <v>0</v>
      </c>
    </row>
    <row r="793" spans="2:6" x14ac:dyDescent="0.25">
      <c r="B793" s="1"/>
      <c r="C793" s="1"/>
      <c r="D793" s="1"/>
      <c r="E793" s="1"/>
      <c r="F793" s="24">
        <f t="shared" si="18"/>
        <v>0</v>
      </c>
    </row>
    <row r="794" spans="2:6" x14ac:dyDescent="0.25">
      <c r="B794" s="10" t="s">
        <v>20</v>
      </c>
      <c r="C794" s="1"/>
      <c r="D794" s="1"/>
      <c r="E794" s="4">
        <f>SUM(E782:E793)</f>
        <v>363</v>
      </c>
      <c r="F794" s="22">
        <f>SUM(F782:F793)</f>
        <v>28.54850887127218</v>
      </c>
    </row>
    <row r="795" spans="2:6" x14ac:dyDescent="0.25">
      <c r="B795" s="4" t="s">
        <v>22</v>
      </c>
      <c r="C795" s="6"/>
      <c r="D795" s="6"/>
      <c r="E795" s="6"/>
      <c r="F795" s="23">
        <f>F780+F794</f>
        <v>45.098508871272173</v>
      </c>
    </row>
    <row r="796" spans="2:6" x14ac:dyDescent="0.25">
      <c r="B796" s="7"/>
      <c r="C796" s="7"/>
      <c r="D796" s="7"/>
      <c r="E796" s="7"/>
      <c r="F796" s="7"/>
    </row>
    <row r="797" spans="2:6" x14ac:dyDescent="0.25">
      <c r="B797" s="18"/>
      <c r="C797" s="18"/>
      <c r="D797" s="18"/>
      <c r="E797" s="18"/>
      <c r="F797" s="18"/>
    </row>
    <row r="798" spans="2:6" x14ac:dyDescent="0.25">
      <c r="B798" s="18"/>
      <c r="C798" s="18"/>
      <c r="D798" s="18"/>
      <c r="E798" s="18"/>
      <c r="F798" s="18"/>
    </row>
    <row r="799" spans="2:6" x14ac:dyDescent="0.25">
      <c r="B799" s="39" t="s">
        <v>23</v>
      </c>
      <c r="C799" s="38"/>
      <c r="D799" s="38"/>
      <c r="E799" s="39" t="s">
        <v>24</v>
      </c>
      <c r="F799" s="38"/>
    </row>
    <row r="801" spans="2:6" ht="31.15" customHeight="1" x14ac:dyDescent="0.25">
      <c r="B801" s="37" t="s">
        <v>188</v>
      </c>
      <c r="C801" s="37"/>
      <c r="D801" s="37"/>
      <c r="E801" s="37"/>
      <c r="F801" s="37"/>
    </row>
    <row r="802" spans="2:6" ht="32.450000000000003" customHeight="1" x14ac:dyDescent="0.25">
      <c r="B802" s="37" t="s">
        <v>1</v>
      </c>
      <c r="C802" s="37"/>
      <c r="D802" s="37"/>
      <c r="E802" s="37"/>
      <c r="F802" s="37"/>
    </row>
    <row r="803" spans="2:6" x14ac:dyDescent="0.25">
      <c r="B803" s="16" t="s">
        <v>0</v>
      </c>
      <c r="C803" s="16"/>
      <c r="D803" s="16"/>
      <c r="E803" s="16"/>
      <c r="F803" s="16"/>
    </row>
    <row r="804" spans="2:6" x14ac:dyDescent="0.25">
      <c r="B804" s="17"/>
      <c r="C804" s="38" t="s">
        <v>25</v>
      </c>
      <c r="D804" s="38"/>
      <c r="E804" s="17">
        <v>728.2</v>
      </c>
      <c r="F804" s="17" t="s">
        <v>26</v>
      </c>
    </row>
    <row r="806" spans="2:6" ht="45" x14ac:dyDescent="0.25">
      <c r="B806" s="1" t="s">
        <v>2</v>
      </c>
      <c r="C806" s="1" t="s">
        <v>4</v>
      </c>
      <c r="D806" s="1" t="s">
        <v>3</v>
      </c>
      <c r="E806" s="1" t="s">
        <v>447</v>
      </c>
      <c r="F806" s="1" t="s">
        <v>5</v>
      </c>
    </row>
    <row r="807" spans="2:6" x14ac:dyDescent="0.25">
      <c r="B807" s="1"/>
      <c r="C807" s="1"/>
      <c r="D807" s="1"/>
      <c r="E807" s="1"/>
      <c r="F807" s="1"/>
    </row>
    <row r="808" spans="2:6" x14ac:dyDescent="0.25">
      <c r="B808" s="3" t="s">
        <v>6</v>
      </c>
      <c r="C808" s="1"/>
      <c r="D808" s="1"/>
      <c r="E808" s="1"/>
      <c r="F808" s="1"/>
    </row>
    <row r="809" spans="2:6" x14ac:dyDescent="0.25">
      <c r="B809" s="5" t="s">
        <v>7</v>
      </c>
      <c r="C809" s="1"/>
      <c r="D809" s="1"/>
      <c r="E809" s="1"/>
      <c r="F809" s="5">
        <v>2.0099999999999998</v>
      </c>
    </row>
    <row r="810" spans="2:6" x14ac:dyDescent="0.25">
      <c r="B810" s="5" t="s">
        <v>8</v>
      </c>
      <c r="C810" s="1"/>
      <c r="D810" s="1"/>
      <c r="E810" s="1"/>
      <c r="F810" s="5">
        <v>5.34</v>
      </c>
    </row>
    <row r="811" spans="2:6" ht="24.75" x14ac:dyDescent="0.25">
      <c r="B811" s="5" t="s">
        <v>11</v>
      </c>
      <c r="C811" s="1"/>
      <c r="D811" s="1"/>
      <c r="E811" s="1"/>
      <c r="F811" s="5">
        <v>0.55000000000000004</v>
      </c>
    </row>
    <row r="812" spans="2:6" ht="24.75" x14ac:dyDescent="0.25">
      <c r="B812" s="5" t="s">
        <v>12</v>
      </c>
      <c r="C812" s="1"/>
      <c r="D812" s="1"/>
      <c r="E812" s="1"/>
      <c r="F812" s="5">
        <v>0.53</v>
      </c>
    </row>
    <row r="813" spans="2:6" ht="24.75" x14ac:dyDescent="0.25">
      <c r="B813" s="5" t="s">
        <v>13</v>
      </c>
      <c r="C813" s="1"/>
      <c r="D813" s="1"/>
      <c r="E813" s="1"/>
      <c r="F813" s="5">
        <v>0.19</v>
      </c>
    </row>
    <row r="814" spans="2:6" ht="24.75" x14ac:dyDescent="0.25">
      <c r="B814" s="5" t="s">
        <v>14</v>
      </c>
      <c r="C814" s="1"/>
      <c r="D814" s="1"/>
      <c r="E814" s="1"/>
      <c r="F814" s="5">
        <v>1.25</v>
      </c>
    </row>
    <row r="815" spans="2:6" ht="24.75" x14ac:dyDescent="0.25">
      <c r="B815" s="5" t="s">
        <v>9</v>
      </c>
      <c r="C815" s="1"/>
      <c r="D815" s="1"/>
      <c r="E815" s="1"/>
      <c r="F815" s="5">
        <v>0.26</v>
      </c>
    </row>
    <row r="816" spans="2:6" ht="24.75" x14ac:dyDescent="0.25">
      <c r="B816" s="5" t="s">
        <v>15</v>
      </c>
      <c r="C816" s="1"/>
      <c r="D816" s="1"/>
      <c r="E816" s="1"/>
      <c r="F816" s="5">
        <v>0.27</v>
      </c>
    </row>
    <row r="817" spans="2:6" ht="24.75" x14ac:dyDescent="0.25">
      <c r="B817" s="5" t="s">
        <v>16</v>
      </c>
      <c r="C817" s="1"/>
      <c r="D817" s="1"/>
      <c r="E817" s="1"/>
      <c r="F817" s="5">
        <v>0.28999999999999998</v>
      </c>
    </row>
    <row r="818" spans="2:6" x14ac:dyDescent="0.25">
      <c r="B818" s="5" t="s">
        <v>17</v>
      </c>
      <c r="C818" s="1"/>
      <c r="D818" s="1"/>
      <c r="E818" s="1"/>
      <c r="F818" s="5">
        <v>0.32</v>
      </c>
    </row>
    <row r="819" spans="2:6" x14ac:dyDescent="0.25">
      <c r="B819" s="5" t="s">
        <v>18</v>
      </c>
      <c r="C819" s="1"/>
      <c r="D819" s="1"/>
      <c r="E819" s="1"/>
      <c r="F819" s="5">
        <v>1.97</v>
      </c>
    </row>
    <row r="820" spans="2:6" x14ac:dyDescent="0.25">
      <c r="B820" s="5" t="s">
        <v>19</v>
      </c>
      <c r="C820" s="1"/>
      <c r="D820" s="1"/>
      <c r="E820" s="1"/>
      <c r="F820" s="5">
        <v>3.51</v>
      </c>
    </row>
    <row r="821" spans="2:6" x14ac:dyDescent="0.25">
      <c r="B821" s="10" t="s">
        <v>20</v>
      </c>
      <c r="C821" s="1"/>
      <c r="D821" s="1"/>
      <c r="E821" s="1"/>
      <c r="F821" s="4">
        <f>SUM(F809:F820)</f>
        <v>16.489999999999998</v>
      </c>
    </row>
    <row r="822" spans="2:6" x14ac:dyDescent="0.25">
      <c r="B822" s="3" t="s">
        <v>21</v>
      </c>
      <c r="C822" s="1"/>
      <c r="D822" s="1"/>
      <c r="E822" s="1"/>
      <c r="F822" s="1"/>
    </row>
    <row r="823" spans="2:6" x14ac:dyDescent="0.25">
      <c r="B823" s="15" t="s">
        <v>253</v>
      </c>
      <c r="C823" s="27" t="s">
        <v>26</v>
      </c>
      <c r="D823" s="1">
        <v>96</v>
      </c>
      <c r="E823" s="1">
        <v>67</v>
      </c>
      <c r="F823" s="24">
        <f>E823/728.2*1000/12</f>
        <v>7.667307516250113</v>
      </c>
    </row>
    <row r="824" spans="2:6" x14ac:dyDescent="0.25">
      <c r="B824" s="15" t="s">
        <v>254</v>
      </c>
      <c r="C824" s="27" t="s">
        <v>26</v>
      </c>
      <c r="D824" s="1">
        <v>42</v>
      </c>
      <c r="E824" s="1">
        <v>25</v>
      </c>
      <c r="F824" s="24">
        <f t="shared" ref="F824:F834" si="19">E824/728.2*1000/12</f>
        <v>2.8609356403918333</v>
      </c>
    </row>
    <row r="825" spans="2:6" x14ac:dyDescent="0.25">
      <c r="B825" s="15" t="s">
        <v>257</v>
      </c>
      <c r="C825" s="27" t="s">
        <v>26</v>
      </c>
      <c r="D825" s="1">
        <v>120</v>
      </c>
      <c r="E825" s="1">
        <v>144</v>
      </c>
      <c r="F825" s="24">
        <f t="shared" si="19"/>
        <v>16.478989288656962</v>
      </c>
    </row>
    <row r="826" spans="2:6" x14ac:dyDescent="0.25">
      <c r="B826" s="15" t="s">
        <v>255</v>
      </c>
      <c r="C826" s="15" t="s">
        <v>26</v>
      </c>
      <c r="D826" s="1">
        <v>2.4</v>
      </c>
      <c r="E826" s="1">
        <v>6</v>
      </c>
      <c r="F826" s="24">
        <f t="shared" si="19"/>
        <v>0.68662455369404007</v>
      </c>
    </row>
    <row r="827" spans="2:6" x14ac:dyDescent="0.25">
      <c r="B827" s="1"/>
      <c r="C827" s="27"/>
      <c r="D827" s="1"/>
      <c r="E827" s="1"/>
      <c r="F827" s="24">
        <f t="shared" si="19"/>
        <v>0</v>
      </c>
    </row>
    <row r="828" spans="2:6" x14ac:dyDescent="0.25">
      <c r="B828" s="1"/>
      <c r="C828" s="27"/>
      <c r="D828" s="1"/>
      <c r="E828" s="1"/>
      <c r="F828" s="24">
        <f t="shared" si="19"/>
        <v>0</v>
      </c>
    </row>
    <row r="829" spans="2:6" x14ac:dyDescent="0.25">
      <c r="B829" s="1"/>
      <c r="C829" s="27"/>
      <c r="D829" s="1"/>
      <c r="E829" s="1"/>
      <c r="F829" s="24">
        <f t="shared" si="19"/>
        <v>0</v>
      </c>
    </row>
    <row r="830" spans="2:6" x14ac:dyDescent="0.25">
      <c r="B830" s="1"/>
      <c r="C830" s="27"/>
      <c r="D830" s="1"/>
      <c r="E830" s="1"/>
      <c r="F830" s="24">
        <f t="shared" si="19"/>
        <v>0</v>
      </c>
    </row>
    <row r="831" spans="2:6" x14ac:dyDescent="0.25">
      <c r="B831" s="1"/>
      <c r="C831" s="1"/>
      <c r="D831" s="1"/>
      <c r="E831" s="1"/>
      <c r="F831" s="24">
        <f t="shared" si="19"/>
        <v>0</v>
      </c>
    </row>
    <row r="832" spans="2:6" x14ac:dyDescent="0.25">
      <c r="B832" s="1"/>
      <c r="C832" s="1"/>
      <c r="D832" s="1"/>
      <c r="E832" s="1"/>
      <c r="F832" s="24">
        <f t="shared" si="19"/>
        <v>0</v>
      </c>
    </row>
    <row r="833" spans="2:6" x14ac:dyDescent="0.25">
      <c r="B833" s="1"/>
      <c r="C833" s="1"/>
      <c r="D833" s="1"/>
      <c r="E833" s="1"/>
      <c r="F833" s="24">
        <f t="shared" si="19"/>
        <v>0</v>
      </c>
    </row>
    <row r="834" spans="2:6" x14ac:dyDescent="0.25">
      <c r="B834" s="1"/>
      <c r="C834" s="1"/>
      <c r="D834" s="1"/>
      <c r="E834" s="1"/>
      <c r="F834" s="24">
        <f t="shared" si="19"/>
        <v>0</v>
      </c>
    </row>
    <row r="835" spans="2:6" x14ac:dyDescent="0.25">
      <c r="B835" s="10" t="s">
        <v>20</v>
      </c>
      <c r="C835" s="1"/>
      <c r="D835" s="1"/>
      <c r="E835" s="4">
        <f>SUM(E823:E834)</f>
        <v>242</v>
      </c>
      <c r="F835" s="22">
        <f>SUM(F823:F834)</f>
        <v>27.693856998992949</v>
      </c>
    </row>
    <row r="836" spans="2:6" x14ac:dyDescent="0.25">
      <c r="B836" s="4" t="s">
        <v>22</v>
      </c>
      <c r="C836" s="6"/>
      <c r="D836" s="6"/>
      <c r="E836" s="6"/>
      <c r="F836" s="23">
        <f>F821+F835</f>
        <v>44.183856998992951</v>
      </c>
    </row>
    <row r="837" spans="2:6" x14ac:dyDescent="0.25">
      <c r="B837" s="7"/>
      <c r="C837" s="7"/>
      <c r="D837" s="7"/>
      <c r="E837" s="7"/>
      <c r="F837" s="7"/>
    </row>
    <row r="838" spans="2:6" x14ac:dyDescent="0.25">
      <c r="B838" s="18"/>
      <c r="C838" s="18"/>
      <c r="D838" s="18"/>
      <c r="E838" s="18"/>
      <c r="F838" s="18"/>
    </row>
    <row r="839" spans="2:6" x14ac:dyDescent="0.25">
      <c r="B839" s="18"/>
      <c r="C839" s="18"/>
      <c r="D839" s="18"/>
      <c r="E839" s="18"/>
      <c r="F839" s="18"/>
    </row>
    <row r="840" spans="2:6" x14ac:dyDescent="0.25">
      <c r="B840" s="39" t="s">
        <v>23</v>
      </c>
      <c r="C840" s="38"/>
      <c r="D840" s="38"/>
      <c r="E840" s="39" t="s">
        <v>24</v>
      </c>
      <c r="F840" s="38"/>
    </row>
    <row r="843" spans="2:6" ht="33" customHeight="1" x14ac:dyDescent="0.25">
      <c r="B843" s="37" t="s">
        <v>189</v>
      </c>
      <c r="C843" s="37"/>
      <c r="D843" s="37"/>
      <c r="E843" s="37"/>
      <c r="F843" s="37"/>
    </row>
    <row r="844" spans="2:6" ht="30" customHeight="1" x14ac:dyDescent="0.25">
      <c r="B844" s="37" t="s">
        <v>1</v>
      </c>
      <c r="C844" s="37"/>
      <c r="D844" s="37"/>
      <c r="E844" s="37"/>
      <c r="F844" s="37"/>
    </row>
    <row r="845" spans="2:6" x14ac:dyDescent="0.25">
      <c r="B845" s="16" t="s">
        <v>0</v>
      </c>
      <c r="C845" s="16"/>
      <c r="D845" s="16"/>
      <c r="E845" s="16"/>
      <c r="F845" s="16"/>
    </row>
    <row r="846" spans="2:6" x14ac:dyDescent="0.25">
      <c r="B846" s="17"/>
      <c r="C846" s="38" t="s">
        <v>25</v>
      </c>
      <c r="D846" s="38"/>
      <c r="E846" s="17">
        <v>722.7</v>
      </c>
      <c r="F846" s="17" t="s">
        <v>26</v>
      </c>
    </row>
    <row r="848" spans="2:6" ht="45" x14ac:dyDescent="0.25">
      <c r="B848" s="1" t="s">
        <v>2</v>
      </c>
      <c r="C848" s="1" t="s">
        <v>4</v>
      </c>
      <c r="D848" s="1" t="s">
        <v>3</v>
      </c>
      <c r="E848" s="1" t="s">
        <v>447</v>
      </c>
      <c r="F848" s="1" t="s">
        <v>5</v>
      </c>
    </row>
    <row r="849" spans="2:6" x14ac:dyDescent="0.25">
      <c r="B849" s="1"/>
      <c r="C849" s="1"/>
      <c r="D849" s="1"/>
      <c r="E849" s="1"/>
      <c r="F849" s="1"/>
    </row>
    <row r="850" spans="2:6" x14ac:dyDescent="0.25">
      <c r="B850" s="3" t="s">
        <v>6</v>
      </c>
      <c r="C850" s="1"/>
      <c r="D850" s="1"/>
      <c r="E850" s="1"/>
      <c r="F850" s="1"/>
    </row>
    <row r="851" spans="2:6" x14ac:dyDescent="0.25">
      <c r="B851" s="5" t="s">
        <v>7</v>
      </c>
      <c r="C851" s="1"/>
      <c r="D851" s="1"/>
      <c r="E851" s="1"/>
      <c r="F851" s="5">
        <v>2.0099999999999998</v>
      </c>
    </row>
    <row r="852" spans="2:6" x14ac:dyDescent="0.25">
      <c r="B852" s="5" t="s">
        <v>8</v>
      </c>
      <c r="C852" s="1"/>
      <c r="D852" s="1"/>
      <c r="E852" s="1"/>
      <c r="F852" s="5">
        <v>5.34</v>
      </c>
    </row>
    <row r="853" spans="2:6" ht="24.75" x14ac:dyDescent="0.25">
      <c r="B853" s="5" t="s">
        <v>11</v>
      </c>
      <c r="C853" s="1"/>
      <c r="D853" s="1"/>
      <c r="E853" s="1"/>
      <c r="F853" s="5">
        <v>0.55000000000000004</v>
      </c>
    </row>
    <row r="854" spans="2:6" ht="24.75" x14ac:dyDescent="0.25">
      <c r="B854" s="5" t="s">
        <v>12</v>
      </c>
      <c r="C854" s="1"/>
      <c r="D854" s="1"/>
      <c r="E854" s="1"/>
      <c r="F854" s="5">
        <v>0.53</v>
      </c>
    </row>
    <row r="855" spans="2:6" ht="24.75" x14ac:dyDescent="0.25">
      <c r="B855" s="5" t="s">
        <v>13</v>
      </c>
      <c r="C855" s="1"/>
      <c r="D855" s="1"/>
      <c r="E855" s="1"/>
      <c r="F855" s="5">
        <v>0.19</v>
      </c>
    </row>
    <row r="856" spans="2:6" ht="24.75" x14ac:dyDescent="0.25">
      <c r="B856" s="5" t="s">
        <v>14</v>
      </c>
      <c r="C856" s="1"/>
      <c r="D856" s="1"/>
      <c r="E856" s="1"/>
      <c r="F856" s="5">
        <v>1.25</v>
      </c>
    </row>
    <row r="857" spans="2:6" ht="24.75" x14ac:dyDescent="0.25">
      <c r="B857" s="5" t="s">
        <v>9</v>
      </c>
      <c r="C857" s="1"/>
      <c r="D857" s="1"/>
      <c r="E857" s="1"/>
      <c r="F857" s="5">
        <v>0.26</v>
      </c>
    </row>
    <row r="858" spans="2:6" ht="24.75" x14ac:dyDescent="0.25">
      <c r="B858" s="5" t="s">
        <v>15</v>
      </c>
      <c r="C858" s="1"/>
      <c r="D858" s="1"/>
      <c r="E858" s="1"/>
      <c r="F858" s="5">
        <v>0.27</v>
      </c>
    </row>
    <row r="859" spans="2:6" ht="24.75" x14ac:dyDescent="0.25">
      <c r="B859" s="5" t="s">
        <v>16</v>
      </c>
      <c r="C859" s="1"/>
      <c r="D859" s="1"/>
      <c r="E859" s="1"/>
      <c r="F859" s="5">
        <v>0.28999999999999998</v>
      </c>
    </row>
    <row r="860" spans="2:6" x14ac:dyDescent="0.25">
      <c r="B860" s="5" t="s">
        <v>17</v>
      </c>
      <c r="C860" s="1"/>
      <c r="D860" s="1"/>
      <c r="E860" s="1"/>
      <c r="F860" s="5">
        <v>0.32</v>
      </c>
    </row>
    <row r="861" spans="2:6" x14ac:dyDescent="0.25">
      <c r="B861" s="5" t="s">
        <v>18</v>
      </c>
      <c r="C861" s="1"/>
      <c r="D861" s="1"/>
      <c r="E861" s="1"/>
      <c r="F861" s="5">
        <v>1.97</v>
      </c>
    </row>
    <row r="862" spans="2:6" x14ac:dyDescent="0.25">
      <c r="B862" s="5" t="s">
        <v>19</v>
      </c>
      <c r="C862" s="1"/>
      <c r="D862" s="1"/>
      <c r="E862" s="1"/>
      <c r="F862" s="5">
        <v>3.51</v>
      </c>
    </row>
    <row r="863" spans="2:6" x14ac:dyDescent="0.25">
      <c r="B863" s="10" t="s">
        <v>20</v>
      </c>
      <c r="C863" s="1"/>
      <c r="D863" s="1"/>
      <c r="E863" s="1"/>
      <c r="F863" s="4">
        <f>SUM(F851:F862)</f>
        <v>16.489999999999998</v>
      </c>
    </row>
    <row r="864" spans="2:6" x14ac:dyDescent="0.25">
      <c r="B864" s="3" t="s">
        <v>21</v>
      </c>
      <c r="C864" s="1"/>
      <c r="D864" s="1"/>
      <c r="E864" s="1"/>
      <c r="F864" s="1"/>
    </row>
    <row r="865" spans="2:6" x14ac:dyDescent="0.25">
      <c r="B865" s="15" t="s">
        <v>252</v>
      </c>
      <c r="C865" s="1" t="s">
        <v>256</v>
      </c>
      <c r="D865" s="1">
        <v>2</v>
      </c>
      <c r="E865" s="1">
        <v>80</v>
      </c>
      <c r="F865" s="24">
        <f>E865/722.7*1000/12</f>
        <v>9.2246667589133331</v>
      </c>
    </row>
    <row r="866" spans="2:6" x14ac:dyDescent="0.25">
      <c r="B866" s="15" t="s">
        <v>273</v>
      </c>
      <c r="C866" s="1" t="s">
        <v>26</v>
      </c>
      <c r="D866" s="1">
        <v>105</v>
      </c>
      <c r="E866" s="1">
        <v>73.5</v>
      </c>
      <c r="F866" s="24">
        <f t="shared" ref="F866:F876" si="20">E866/722.7*1000/12</f>
        <v>8.4751625847516259</v>
      </c>
    </row>
    <row r="867" spans="2:6" x14ac:dyDescent="0.25">
      <c r="B867" s="15" t="s">
        <v>254</v>
      </c>
      <c r="C867" s="1" t="s">
        <v>26</v>
      </c>
      <c r="D867" s="1">
        <v>70</v>
      </c>
      <c r="E867" s="1">
        <v>42</v>
      </c>
      <c r="F867" s="24">
        <f t="shared" si="20"/>
        <v>4.8429500484295005</v>
      </c>
    </row>
    <row r="868" spans="2:6" x14ac:dyDescent="0.25">
      <c r="B868" s="15" t="s">
        <v>257</v>
      </c>
      <c r="C868" s="1" t="s">
        <v>26</v>
      </c>
      <c r="D868" s="1">
        <v>200</v>
      </c>
      <c r="E868" s="1">
        <v>240</v>
      </c>
      <c r="F868" s="24">
        <f t="shared" si="20"/>
        <v>27.674000276740003</v>
      </c>
    </row>
    <row r="869" spans="2:6" x14ac:dyDescent="0.25">
      <c r="B869" s="15" t="s">
        <v>260</v>
      </c>
      <c r="C869" s="1" t="s">
        <v>256</v>
      </c>
      <c r="D869" s="1">
        <v>2</v>
      </c>
      <c r="E869" s="1">
        <v>110</v>
      </c>
      <c r="F869" s="24">
        <f t="shared" si="20"/>
        <v>12.683916793505835</v>
      </c>
    </row>
    <row r="870" spans="2:6" x14ac:dyDescent="0.25">
      <c r="B870" s="1"/>
      <c r="C870" s="1"/>
      <c r="D870" s="1"/>
      <c r="E870" s="1"/>
      <c r="F870" s="24">
        <f t="shared" si="20"/>
        <v>0</v>
      </c>
    </row>
    <row r="871" spans="2:6" x14ac:dyDescent="0.25">
      <c r="B871" s="1"/>
      <c r="C871" s="1"/>
      <c r="D871" s="1"/>
      <c r="E871" s="1"/>
      <c r="F871" s="24">
        <f t="shared" si="20"/>
        <v>0</v>
      </c>
    </row>
    <row r="872" spans="2:6" x14ac:dyDescent="0.25">
      <c r="B872" s="1"/>
      <c r="C872" s="1"/>
      <c r="D872" s="1"/>
      <c r="E872" s="1"/>
      <c r="F872" s="24">
        <f t="shared" si="20"/>
        <v>0</v>
      </c>
    </row>
    <row r="873" spans="2:6" x14ac:dyDescent="0.25">
      <c r="B873" s="1"/>
      <c r="C873" s="1"/>
      <c r="D873" s="1"/>
      <c r="E873" s="1"/>
      <c r="F873" s="24">
        <f t="shared" si="20"/>
        <v>0</v>
      </c>
    </row>
    <row r="874" spans="2:6" x14ac:dyDescent="0.25">
      <c r="B874" s="1"/>
      <c r="C874" s="1"/>
      <c r="D874" s="1"/>
      <c r="E874" s="1"/>
      <c r="F874" s="24">
        <f t="shared" si="20"/>
        <v>0</v>
      </c>
    </row>
    <row r="875" spans="2:6" x14ac:dyDescent="0.25">
      <c r="B875" s="1"/>
      <c r="C875" s="1"/>
      <c r="D875" s="1"/>
      <c r="E875" s="1"/>
      <c r="F875" s="24">
        <f t="shared" si="20"/>
        <v>0</v>
      </c>
    </row>
    <row r="876" spans="2:6" x14ac:dyDescent="0.25">
      <c r="B876" s="1"/>
      <c r="C876" s="1"/>
      <c r="D876" s="1"/>
      <c r="E876" s="1"/>
      <c r="F876" s="24">
        <f t="shared" si="20"/>
        <v>0</v>
      </c>
    </row>
    <row r="877" spans="2:6" x14ac:dyDescent="0.25">
      <c r="B877" s="10" t="s">
        <v>20</v>
      </c>
      <c r="C877" s="1"/>
      <c r="D877" s="1"/>
      <c r="E877" s="4">
        <f>SUM(E865:E876)</f>
        <v>545.5</v>
      </c>
      <c r="F877" s="22">
        <f>SUM(F865:F876)</f>
        <v>62.900696462340299</v>
      </c>
    </row>
    <row r="878" spans="2:6" x14ac:dyDescent="0.25">
      <c r="B878" s="4" t="s">
        <v>22</v>
      </c>
      <c r="C878" s="6"/>
      <c r="D878" s="6"/>
      <c r="E878" s="6"/>
      <c r="F878" s="23">
        <f>F863+F877</f>
        <v>79.390696462340301</v>
      </c>
    </row>
    <row r="879" spans="2:6" x14ac:dyDescent="0.25">
      <c r="B879" s="7"/>
      <c r="C879" s="7"/>
      <c r="D879" s="7"/>
      <c r="E879" s="7"/>
      <c r="F879" s="7"/>
    </row>
    <row r="880" spans="2:6" x14ac:dyDescent="0.25">
      <c r="B880" s="18"/>
      <c r="C880" s="18"/>
      <c r="D880" s="18"/>
      <c r="E880" s="18"/>
      <c r="F880" s="18"/>
    </row>
    <row r="881" spans="2:6" x14ac:dyDescent="0.25">
      <c r="B881" s="18"/>
      <c r="C881" s="18"/>
      <c r="D881" s="18"/>
      <c r="E881" s="18"/>
      <c r="F881" s="18"/>
    </row>
    <row r="882" spans="2:6" x14ac:dyDescent="0.25">
      <c r="B882" s="39" t="s">
        <v>23</v>
      </c>
      <c r="C882" s="38"/>
      <c r="D882" s="38"/>
      <c r="E882" s="39" t="s">
        <v>24</v>
      </c>
      <c r="F882" s="38"/>
    </row>
    <row r="885" spans="2:6" ht="28.9" customHeight="1" x14ac:dyDescent="0.25">
      <c r="B885" s="37" t="s">
        <v>190</v>
      </c>
      <c r="C885" s="37"/>
      <c r="D885" s="37"/>
      <c r="E885" s="37"/>
      <c r="F885" s="37"/>
    </row>
    <row r="886" spans="2:6" ht="27.6" customHeight="1" x14ac:dyDescent="0.25">
      <c r="B886" s="37" t="s">
        <v>1</v>
      </c>
      <c r="C886" s="37"/>
      <c r="D886" s="37"/>
      <c r="E886" s="37"/>
      <c r="F886" s="37"/>
    </row>
    <row r="887" spans="2:6" x14ac:dyDescent="0.25">
      <c r="B887" s="16" t="s">
        <v>0</v>
      </c>
      <c r="C887" s="16"/>
      <c r="D887" s="16"/>
      <c r="E887" s="16"/>
      <c r="F887" s="16"/>
    </row>
    <row r="888" spans="2:6" x14ac:dyDescent="0.25">
      <c r="B888" s="17"/>
      <c r="C888" s="38" t="s">
        <v>25</v>
      </c>
      <c r="D888" s="38"/>
      <c r="E888" s="17">
        <v>727.3</v>
      </c>
      <c r="F888" s="17" t="s">
        <v>26</v>
      </c>
    </row>
    <row r="890" spans="2:6" ht="45" x14ac:dyDescent="0.25">
      <c r="B890" s="1" t="s">
        <v>2</v>
      </c>
      <c r="C890" s="1" t="s">
        <v>4</v>
      </c>
      <c r="D890" s="1" t="s">
        <v>3</v>
      </c>
      <c r="E890" s="1" t="s">
        <v>447</v>
      </c>
      <c r="F890" s="1" t="s">
        <v>5</v>
      </c>
    </row>
    <row r="891" spans="2:6" x14ac:dyDescent="0.25">
      <c r="B891" s="1"/>
      <c r="C891" s="1"/>
      <c r="D891" s="1"/>
      <c r="E891" s="1"/>
      <c r="F891" s="1"/>
    </row>
    <row r="892" spans="2:6" x14ac:dyDescent="0.25">
      <c r="B892" s="3" t="s">
        <v>6</v>
      </c>
      <c r="C892" s="1"/>
      <c r="D892" s="1"/>
      <c r="E892" s="1"/>
      <c r="F892" s="1"/>
    </row>
    <row r="893" spans="2:6" x14ac:dyDescent="0.25">
      <c r="B893" s="5" t="s">
        <v>7</v>
      </c>
      <c r="C893" s="1"/>
      <c r="D893" s="1"/>
      <c r="E893" s="1"/>
      <c r="F893" s="5">
        <v>2.0099999999999998</v>
      </c>
    </row>
    <row r="894" spans="2:6" x14ac:dyDescent="0.25">
      <c r="B894" s="5" t="s">
        <v>8</v>
      </c>
      <c r="C894" s="1"/>
      <c r="D894" s="1"/>
      <c r="E894" s="1"/>
      <c r="F894" s="5">
        <v>5.34</v>
      </c>
    </row>
    <row r="895" spans="2:6" x14ac:dyDescent="0.25">
      <c r="B895" s="15" t="s">
        <v>30</v>
      </c>
      <c r="C895" s="1"/>
      <c r="D895" s="1"/>
      <c r="E895" s="1"/>
      <c r="F895" s="5">
        <v>0.06</v>
      </c>
    </row>
    <row r="896" spans="2:6" ht="24.75" x14ac:dyDescent="0.25">
      <c r="B896" s="5" t="s">
        <v>11</v>
      </c>
      <c r="C896" s="1"/>
      <c r="D896" s="1"/>
      <c r="E896" s="1"/>
      <c r="F896" s="5">
        <v>0.55000000000000004</v>
      </c>
    </row>
    <row r="897" spans="2:6" ht="24.75" x14ac:dyDescent="0.25">
      <c r="B897" s="5" t="s">
        <v>12</v>
      </c>
      <c r="C897" s="1"/>
      <c r="D897" s="1"/>
      <c r="E897" s="1"/>
      <c r="F897" s="5">
        <v>0.53</v>
      </c>
    </row>
    <row r="898" spans="2:6" ht="24.75" x14ac:dyDescent="0.25">
      <c r="B898" s="5" t="s">
        <v>13</v>
      </c>
      <c r="C898" s="1"/>
      <c r="D898" s="1"/>
      <c r="E898" s="1"/>
      <c r="F898" s="5">
        <v>0.19</v>
      </c>
    </row>
    <row r="899" spans="2:6" ht="24.75" x14ac:dyDescent="0.25">
      <c r="B899" s="5" t="s">
        <v>14</v>
      </c>
      <c r="C899" s="1"/>
      <c r="D899" s="1"/>
      <c r="E899" s="1"/>
      <c r="F899" s="5">
        <v>1.25</v>
      </c>
    </row>
    <row r="900" spans="2:6" ht="24.75" x14ac:dyDescent="0.25">
      <c r="B900" s="5" t="s">
        <v>9</v>
      </c>
      <c r="C900" s="1"/>
      <c r="D900" s="1"/>
      <c r="E900" s="1"/>
      <c r="F900" s="5">
        <v>0.26</v>
      </c>
    </row>
    <row r="901" spans="2:6" ht="24.75" x14ac:dyDescent="0.25">
      <c r="B901" s="5" t="s">
        <v>15</v>
      </c>
      <c r="C901" s="1"/>
      <c r="D901" s="1"/>
      <c r="E901" s="1"/>
      <c r="F901" s="5">
        <v>0.27</v>
      </c>
    </row>
    <row r="902" spans="2:6" ht="24.75" x14ac:dyDescent="0.25">
      <c r="B902" s="5" t="s">
        <v>16</v>
      </c>
      <c r="C902" s="1"/>
      <c r="D902" s="1"/>
      <c r="E902" s="1"/>
      <c r="F902" s="5">
        <v>0.28999999999999998</v>
      </c>
    </row>
    <row r="903" spans="2:6" x14ac:dyDescent="0.25">
      <c r="B903" s="5" t="s">
        <v>17</v>
      </c>
      <c r="C903" s="1"/>
      <c r="D903" s="1"/>
      <c r="E903" s="1"/>
      <c r="F903" s="5">
        <v>0.32</v>
      </c>
    </row>
    <row r="904" spans="2:6" x14ac:dyDescent="0.25">
      <c r="B904" s="5" t="s">
        <v>18</v>
      </c>
      <c r="C904" s="1"/>
      <c r="D904" s="1"/>
      <c r="E904" s="1"/>
      <c r="F904" s="5">
        <v>1.97</v>
      </c>
    </row>
    <row r="905" spans="2:6" x14ac:dyDescent="0.25">
      <c r="B905" s="5" t="s">
        <v>19</v>
      </c>
      <c r="C905" s="1"/>
      <c r="D905" s="1"/>
      <c r="E905" s="1"/>
      <c r="F905" s="5">
        <v>3.51</v>
      </c>
    </row>
    <row r="906" spans="2:6" x14ac:dyDescent="0.25">
      <c r="B906" s="10" t="s">
        <v>20</v>
      </c>
      <c r="C906" s="1"/>
      <c r="D906" s="1"/>
      <c r="E906" s="1"/>
      <c r="F906" s="4">
        <f>SUM(F893:F905)</f>
        <v>16.549999999999997</v>
      </c>
    </row>
    <row r="907" spans="2:6" x14ac:dyDescent="0.25">
      <c r="B907" s="3" t="s">
        <v>21</v>
      </c>
      <c r="C907" s="1"/>
      <c r="D907" s="1"/>
      <c r="E907" s="1"/>
      <c r="F907" s="1"/>
    </row>
    <row r="908" spans="2:6" x14ac:dyDescent="0.25">
      <c r="B908" s="15" t="s">
        <v>252</v>
      </c>
      <c r="C908" s="1" t="s">
        <v>256</v>
      </c>
      <c r="D908" s="1">
        <v>1</v>
      </c>
      <c r="E908" s="1">
        <v>40</v>
      </c>
      <c r="F908" s="24">
        <f>E908/727.3*1000/12</f>
        <v>4.5831614647784038</v>
      </c>
    </row>
    <row r="909" spans="2:6" x14ac:dyDescent="0.25">
      <c r="B909" s="15" t="s">
        <v>253</v>
      </c>
      <c r="C909" s="1" t="s">
        <v>26</v>
      </c>
      <c r="D909" s="1">
        <v>102</v>
      </c>
      <c r="E909" s="1">
        <v>71.5</v>
      </c>
      <c r="F909" s="24">
        <f t="shared" ref="F909:F919" si="21">E909/727.3*1000/12</f>
        <v>8.1924011182913983</v>
      </c>
    </row>
    <row r="910" spans="2:6" x14ac:dyDescent="0.25">
      <c r="B910" s="15" t="s">
        <v>254</v>
      </c>
      <c r="C910" s="1" t="s">
        <v>26</v>
      </c>
      <c r="D910" s="1">
        <v>46</v>
      </c>
      <c r="E910" s="1">
        <v>28</v>
      </c>
      <c r="F910" s="24">
        <f t="shared" si="21"/>
        <v>3.2082130253448837</v>
      </c>
    </row>
    <row r="911" spans="2:6" x14ac:dyDescent="0.25">
      <c r="B911" s="15" t="s">
        <v>255</v>
      </c>
      <c r="C911" s="1" t="s">
        <v>26</v>
      </c>
      <c r="D911" s="1">
        <v>2.4</v>
      </c>
      <c r="E911" s="1">
        <v>6</v>
      </c>
      <c r="F911" s="24">
        <f t="shared" si="21"/>
        <v>0.6874742197167607</v>
      </c>
    </row>
    <row r="912" spans="2:6" x14ac:dyDescent="0.25">
      <c r="B912" s="15" t="s">
        <v>259</v>
      </c>
      <c r="C912" s="1" t="s">
        <v>26</v>
      </c>
      <c r="D912" s="1">
        <v>2.5</v>
      </c>
      <c r="E912" s="1">
        <v>5</v>
      </c>
      <c r="F912" s="24">
        <f t="shared" si="21"/>
        <v>0.57289518309730048</v>
      </c>
    </row>
    <row r="913" spans="2:6" x14ac:dyDescent="0.25">
      <c r="B913" s="15" t="s">
        <v>260</v>
      </c>
      <c r="C913" s="1" t="s">
        <v>256</v>
      </c>
      <c r="D913" s="1">
        <v>2</v>
      </c>
      <c r="E913" s="1">
        <v>110</v>
      </c>
      <c r="F913" s="24">
        <f t="shared" si="21"/>
        <v>12.603694028140611</v>
      </c>
    </row>
    <row r="914" spans="2:6" x14ac:dyDescent="0.25">
      <c r="B914" s="26" t="s">
        <v>316</v>
      </c>
      <c r="C914" s="1" t="s">
        <v>261</v>
      </c>
      <c r="D914" s="1">
        <v>18</v>
      </c>
      <c r="E914" s="1">
        <v>22</v>
      </c>
      <c r="F914" s="24">
        <f t="shared" si="21"/>
        <v>2.5207388056281226</v>
      </c>
    </row>
    <row r="915" spans="2:6" x14ac:dyDescent="0.25">
      <c r="B915" s="1"/>
      <c r="C915" s="1"/>
      <c r="D915" s="1"/>
      <c r="E915" s="1"/>
      <c r="F915" s="24">
        <f t="shared" si="21"/>
        <v>0</v>
      </c>
    </row>
    <row r="916" spans="2:6" x14ac:dyDescent="0.25">
      <c r="B916" s="1"/>
      <c r="C916" s="1"/>
      <c r="D916" s="1"/>
      <c r="E916" s="1"/>
      <c r="F916" s="24">
        <f t="shared" si="21"/>
        <v>0</v>
      </c>
    </row>
    <row r="917" spans="2:6" x14ac:dyDescent="0.25">
      <c r="B917" s="1"/>
      <c r="C917" s="1"/>
      <c r="D917" s="1"/>
      <c r="E917" s="1"/>
      <c r="F917" s="24">
        <f t="shared" si="21"/>
        <v>0</v>
      </c>
    </row>
    <row r="918" spans="2:6" x14ac:dyDescent="0.25">
      <c r="B918" s="1"/>
      <c r="C918" s="1"/>
      <c r="D918" s="1"/>
      <c r="E918" s="1"/>
      <c r="F918" s="24">
        <f t="shared" si="21"/>
        <v>0</v>
      </c>
    </row>
    <row r="919" spans="2:6" x14ac:dyDescent="0.25">
      <c r="B919" s="1"/>
      <c r="C919" s="1"/>
      <c r="D919" s="1"/>
      <c r="E919" s="1"/>
      <c r="F919" s="24">
        <f t="shared" si="21"/>
        <v>0</v>
      </c>
    </row>
    <row r="920" spans="2:6" x14ac:dyDescent="0.25">
      <c r="B920" s="10" t="s">
        <v>20</v>
      </c>
      <c r="C920" s="1"/>
      <c r="D920" s="1"/>
      <c r="E920" s="4">
        <f>SUM(E908:E919)</f>
        <v>282.5</v>
      </c>
      <c r="F920" s="22">
        <f>SUM(F908:F919)</f>
        <v>32.368577844997482</v>
      </c>
    </row>
    <row r="921" spans="2:6" x14ac:dyDescent="0.25">
      <c r="B921" s="4" t="s">
        <v>22</v>
      </c>
      <c r="C921" s="6"/>
      <c r="D921" s="6"/>
      <c r="E921" s="6"/>
      <c r="F921" s="23">
        <f>F906+F920</f>
        <v>48.918577844997479</v>
      </c>
    </row>
    <row r="922" spans="2:6" x14ac:dyDescent="0.25">
      <c r="B922" s="7"/>
      <c r="C922" s="7"/>
      <c r="D922" s="7"/>
      <c r="E922" s="7"/>
      <c r="F922" s="28"/>
    </row>
    <row r="923" spans="2:6" x14ac:dyDescent="0.25">
      <c r="B923" s="18"/>
      <c r="C923" s="18"/>
      <c r="D923" s="18"/>
      <c r="E923" s="18"/>
      <c r="F923" s="18"/>
    </row>
    <row r="924" spans="2:6" x14ac:dyDescent="0.25">
      <c r="B924" s="18"/>
      <c r="C924" s="18"/>
      <c r="D924" s="18"/>
      <c r="E924" s="18"/>
      <c r="F924" s="18"/>
    </row>
    <row r="925" spans="2:6" x14ac:dyDescent="0.25">
      <c r="B925" s="39" t="s">
        <v>23</v>
      </c>
      <c r="C925" s="38"/>
      <c r="D925" s="38"/>
      <c r="E925" s="39" t="s">
        <v>24</v>
      </c>
      <c r="F925" s="38"/>
    </row>
    <row r="928" spans="2:6" ht="29.45" customHeight="1" x14ac:dyDescent="0.25">
      <c r="B928" s="37" t="s">
        <v>191</v>
      </c>
      <c r="C928" s="37"/>
      <c r="D928" s="37"/>
      <c r="E928" s="37"/>
      <c r="F928" s="37"/>
    </row>
    <row r="929" spans="2:6" ht="26.45" customHeight="1" x14ac:dyDescent="0.25">
      <c r="B929" s="37" t="s">
        <v>1</v>
      </c>
      <c r="C929" s="37"/>
      <c r="D929" s="37"/>
      <c r="E929" s="37"/>
      <c r="F929" s="37"/>
    </row>
    <row r="930" spans="2:6" x14ac:dyDescent="0.25">
      <c r="B930" s="16" t="s">
        <v>0</v>
      </c>
      <c r="C930" s="16"/>
      <c r="D930" s="16"/>
      <c r="E930" s="16"/>
      <c r="F930" s="16"/>
    </row>
    <row r="931" spans="2:6" x14ac:dyDescent="0.25">
      <c r="B931" s="17"/>
      <c r="C931" s="38" t="s">
        <v>25</v>
      </c>
      <c r="D931" s="38"/>
      <c r="E931" s="17">
        <v>731</v>
      </c>
      <c r="F931" s="17" t="s">
        <v>26</v>
      </c>
    </row>
    <row r="933" spans="2:6" ht="45" x14ac:dyDescent="0.25">
      <c r="B933" s="1" t="s">
        <v>2</v>
      </c>
      <c r="C933" s="1" t="s">
        <v>4</v>
      </c>
      <c r="D933" s="1" t="s">
        <v>3</v>
      </c>
      <c r="E933" s="1" t="s">
        <v>447</v>
      </c>
      <c r="F933" s="1" t="s">
        <v>5</v>
      </c>
    </row>
    <row r="934" spans="2:6" x14ac:dyDescent="0.25">
      <c r="B934" s="1"/>
      <c r="C934" s="1"/>
      <c r="D934" s="1"/>
      <c r="E934" s="1"/>
      <c r="F934" s="1"/>
    </row>
    <row r="935" spans="2:6" x14ac:dyDescent="0.25">
      <c r="B935" s="3" t="s">
        <v>6</v>
      </c>
      <c r="C935" s="1"/>
      <c r="D935" s="1"/>
      <c r="E935" s="1"/>
      <c r="F935" s="1"/>
    </row>
    <row r="936" spans="2:6" x14ac:dyDescent="0.25">
      <c r="B936" s="5" t="s">
        <v>7</v>
      </c>
      <c r="C936" s="1"/>
      <c r="D936" s="1"/>
      <c r="E936" s="1"/>
      <c r="F936" s="5">
        <v>2.0099999999999998</v>
      </c>
    </row>
    <row r="937" spans="2:6" x14ac:dyDescent="0.25">
      <c r="B937" s="5" t="s">
        <v>8</v>
      </c>
      <c r="C937" s="1"/>
      <c r="D937" s="1"/>
      <c r="E937" s="1"/>
      <c r="F937" s="5">
        <v>5.34</v>
      </c>
    </row>
    <row r="938" spans="2:6" x14ac:dyDescent="0.25">
      <c r="B938" s="15" t="s">
        <v>30</v>
      </c>
      <c r="C938" s="1"/>
      <c r="D938" s="1"/>
      <c r="E938" s="1"/>
      <c r="F938" s="5">
        <v>0.06</v>
      </c>
    </row>
    <row r="939" spans="2:6" ht="24.75" x14ac:dyDescent="0.25">
      <c r="B939" s="5" t="s">
        <v>11</v>
      </c>
      <c r="C939" s="1"/>
      <c r="D939" s="1"/>
      <c r="E939" s="1"/>
      <c r="F939" s="5">
        <v>0.55000000000000004</v>
      </c>
    </row>
    <row r="940" spans="2:6" ht="24.75" x14ac:dyDescent="0.25">
      <c r="B940" s="5" t="s">
        <v>12</v>
      </c>
      <c r="C940" s="1"/>
      <c r="D940" s="1"/>
      <c r="E940" s="1"/>
      <c r="F940" s="5">
        <v>0.53</v>
      </c>
    </row>
    <row r="941" spans="2:6" ht="24.75" x14ac:dyDescent="0.25">
      <c r="B941" s="5" t="s">
        <v>13</v>
      </c>
      <c r="C941" s="1"/>
      <c r="D941" s="1"/>
      <c r="E941" s="1"/>
      <c r="F941" s="5">
        <v>0.19</v>
      </c>
    </row>
    <row r="942" spans="2:6" ht="24.75" x14ac:dyDescent="0.25">
      <c r="B942" s="5" t="s">
        <v>14</v>
      </c>
      <c r="C942" s="1"/>
      <c r="D942" s="1"/>
      <c r="E942" s="1"/>
      <c r="F942" s="5">
        <v>1.25</v>
      </c>
    </row>
    <row r="943" spans="2:6" ht="24.75" x14ac:dyDescent="0.25">
      <c r="B943" s="5" t="s">
        <v>9</v>
      </c>
      <c r="C943" s="1"/>
      <c r="D943" s="1"/>
      <c r="E943" s="1"/>
      <c r="F943" s="5">
        <v>0.26</v>
      </c>
    </row>
    <row r="944" spans="2:6" ht="24.75" x14ac:dyDescent="0.25">
      <c r="B944" s="5" t="s">
        <v>15</v>
      </c>
      <c r="C944" s="1"/>
      <c r="D944" s="1"/>
      <c r="E944" s="1"/>
      <c r="F944" s="5">
        <v>0.27</v>
      </c>
    </row>
    <row r="945" spans="2:6" ht="24.75" x14ac:dyDescent="0.25">
      <c r="B945" s="5" t="s">
        <v>16</v>
      </c>
      <c r="C945" s="1"/>
      <c r="D945" s="1"/>
      <c r="E945" s="1"/>
      <c r="F945" s="5">
        <v>0.28999999999999998</v>
      </c>
    </row>
    <row r="946" spans="2:6" x14ac:dyDescent="0.25">
      <c r="B946" s="5" t="s">
        <v>17</v>
      </c>
      <c r="C946" s="1"/>
      <c r="D946" s="1"/>
      <c r="E946" s="1"/>
      <c r="F946" s="5">
        <v>0.32</v>
      </c>
    </row>
    <row r="947" spans="2:6" x14ac:dyDescent="0.25">
      <c r="B947" s="5" t="s">
        <v>18</v>
      </c>
      <c r="C947" s="1"/>
      <c r="D947" s="1"/>
      <c r="E947" s="1"/>
      <c r="F947" s="5">
        <v>1.97</v>
      </c>
    </row>
    <row r="948" spans="2:6" x14ac:dyDescent="0.25">
      <c r="B948" s="5" t="s">
        <v>19</v>
      </c>
      <c r="C948" s="1"/>
      <c r="D948" s="1"/>
      <c r="E948" s="1"/>
      <c r="F948" s="5">
        <v>3.51</v>
      </c>
    </row>
    <row r="949" spans="2:6" x14ac:dyDescent="0.25">
      <c r="B949" s="10" t="s">
        <v>20</v>
      </c>
      <c r="C949" s="1"/>
      <c r="D949" s="1"/>
      <c r="E949" s="1"/>
      <c r="F949" s="4">
        <f>SUM(F936:F948)</f>
        <v>16.549999999999997</v>
      </c>
    </row>
    <row r="950" spans="2:6" x14ac:dyDescent="0.25">
      <c r="B950" s="3" t="s">
        <v>21</v>
      </c>
      <c r="C950" s="1"/>
      <c r="D950" s="1"/>
      <c r="E950" s="1"/>
      <c r="F950" s="1"/>
    </row>
    <row r="951" spans="2:6" x14ac:dyDescent="0.25">
      <c r="B951" s="15" t="s">
        <v>253</v>
      </c>
      <c r="C951" s="1" t="s">
        <v>26</v>
      </c>
      <c r="D951" s="1">
        <v>105</v>
      </c>
      <c r="E951" s="1">
        <v>74</v>
      </c>
      <c r="F951" s="24">
        <f>E951/731*1000/12</f>
        <v>8.4359325125398996</v>
      </c>
    </row>
    <row r="952" spans="2:6" x14ac:dyDescent="0.25">
      <c r="B952" s="15" t="s">
        <v>254</v>
      </c>
      <c r="C952" s="1" t="s">
        <v>26</v>
      </c>
      <c r="D952" s="1">
        <v>50</v>
      </c>
      <c r="E952" s="1">
        <v>30</v>
      </c>
      <c r="F952" s="24">
        <f t="shared" ref="F952:F962" si="22">E952/731*1000/12</f>
        <v>3.4199726402188784</v>
      </c>
    </row>
    <row r="953" spans="2:6" x14ac:dyDescent="0.25">
      <c r="B953" s="15" t="s">
        <v>260</v>
      </c>
      <c r="C953" s="1" t="s">
        <v>256</v>
      </c>
      <c r="D953" s="1">
        <v>1</v>
      </c>
      <c r="E953" s="1">
        <v>30</v>
      </c>
      <c r="F953" s="24">
        <f t="shared" si="22"/>
        <v>3.4199726402188784</v>
      </c>
    </row>
    <row r="954" spans="2:6" x14ac:dyDescent="0.25">
      <c r="B954" s="26" t="s">
        <v>316</v>
      </c>
      <c r="C954" s="1" t="s">
        <v>261</v>
      </c>
      <c r="D954" s="1">
        <v>20</v>
      </c>
      <c r="E954" s="1">
        <v>24</v>
      </c>
      <c r="F954" s="24">
        <f t="shared" si="22"/>
        <v>2.7359781121751023</v>
      </c>
    </row>
    <row r="955" spans="2:6" x14ac:dyDescent="0.25">
      <c r="B955" s="1"/>
      <c r="C955" s="1"/>
      <c r="D955" s="1"/>
      <c r="E955" s="1"/>
      <c r="F955" s="24">
        <f t="shared" si="22"/>
        <v>0</v>
      </c>
    </row>
    <row r="956" spans="2:6" x14ac:dyDescent="0.25">
      <c r="B956" s="1"/>
      <c r="C956" s="1"/>
      <c r="D956" s="1"/>
      <c r="E956" s="1"/>
      <c r="F956" s="24">
        <f t="shared" si="22"/>
        <v>0</v>
      </c>
    </row>
    <row r="957" spans="2:6" x14ac:dyDescent="0.25">
      <c r="B957" s="1"/>
      <c r="C957" s="1"/>
      <c r="D957" s="1"/>
      <c r="E957" s="1"/>
      <c r="F957" s="24">
        <f t="shared" si="22"/>
        <v>0</v>
      </c>
    </row>
    <row r="958" spans="2:6" x14ac:dyDescent="0.25">
      <c r="B958" s="1"/>
      <c r="C958" s="1"/>
      <c r="D958" s="1"/>
      <c r="E958" s="1"/>
      <c r="F958" s="24">
        <f t="shared" si="22"/>
        <v>0</v>
      </c>
    </row>
    <row r="959" spans="2:6" x14ac:dyDescent="0.25">
      <c r="B959" s="1"/>
      <c r="C959" s="1"/>
      <c r="D959" s="1"/>
      <c r="E959" s="1"/>
      <c r="F959" s="24">
        <f t="shared" si="22"/>
        <v>0</v>
      </c>
    </row>
    <row r="960" spans="2:6" x14ac:dyDescent="0.25">
      <c r="B960" s="1"/>
      <c r="C960" s="1"/>
      <c r="D960" s="1"/>
      <c r="E960" s="1"/>
      <c r="F960" s="24">
        <f t="shared" si="22"/>
        <v>0</v>
      </c>
    </row>
    <row r="961" spans="2:6" x14ac:dyDescent="0.25">
      <c r="B961" s="1"/>
      <c r="C961" s="1"/>
      <c r="D961" s="1"/>
      <c r="E961" s="1"/>
      <c r="F961" s="24">
        <f t="shared" si="22"/>
        <v>0</v>
      </c>
    </row>
    <row r="962" spans="2:6" x14ac:dyDescent="0.25">
      <c r="B962" s="1"/>
      <c r="C962" s="1"/>
      <c r="D962" s="1"/>
      <c r="E962" s="1"/>
      <c r="F962" s="24">
        <f t="shared" si="22"/>
        <v>0</v>
      </c>
    </row>
    <row r="963" spans="2:6" x14ac:dyDescent="0.25">
      <c r="B963" s="10" t="s">
        <v>20</v>
      </c>
      <c r="C963" s="1"/>
      <c r="D963" s="1"/>
      <c r="E963" s="4">
        <f>SUM(E951:E962)</f>
        <v>158</v>
      </c>
      <c r="F963" s="22">
        <f>SUM(F951:F962)</f>
        <v>18.011855905152757</v>
      </c>
    </row>
    <row r="964" spans="2:6" x14ac:dyDescent="0.25">
      <c r="B964" s="4" t="s">
        <v>22</v>
      </c>
      <c r="C964" s="6"/>
      <c r="D964" s="6"/>
      <c r="E964" s="6"/>
      <c r="F964" s="23">
        <f>F949+F963</f>
        <v>34.561855905152754</v>
      </c>
    </row>
    <row r="965" spans="2:6" x14ac:dyDescent="0.25">
      <c r="B965" s="7"/>
      <c r="C965" s="7"/>
      <c r="D965" s="7"/>
      <c r="E965" s="7"/>
      <c r="F965" s="7"/>
    </row>
    <row r="966" spans="2:6" x14ac:dyDescent="0.25">
      <c r="B966" s="18"/>
      <c r="C966" s="18"/>
      <c r="D966" s="18"/>
      <c r="E966" s="18"/>
      <c r="F966" s="18"/>
    </row>
    <row r="967" spans="2:6" x14ac:dyDescent="0.25">
      <c r="B967" s="18"/>
      <c r="C967" s="18"/>
      <c r="D967" s="18"/>
      <c r="E967" s="18"/>
      <c r="F967" s="18"/>
    </row>
    <row r="968" spans="2:6" x14ac:dyDescent="0.25">
      <c r="B968" s="39" t="s">
        <v>23</v>
      </c>
      <c r="C968" s="38"/>
      <c r="D968" s="38"/>
      <c r="E968" s="39" t="s">
        <v>24</v>
      </c>
      <c r="F968" s="38"/>
    </row>
  </sheetData>
  <mergeCells count="115">
    <mergeCell ref="B2:F2"/>
    <mergeCell ref="B3:F3"/>
    <mergeCell ref="C5:D5"/>
    <mergeCell ref="B42:D42"/>
    <mergeCell ref="E42:F42"/>
    <mergeCell ref="B44:F44"/>
    <mergeCell ref="C89:D89"/>
    <mergeCell ref="B126:D126"/>
    <mergeCell ref="E126:F126"/>
    <mergeCell ref="B128:F128"/>
    <mergeCell ref="B129:F129"/>
    <mergeCell ref="C131:D131"/>
    <mergeCell ref="B45:F45"/>
    <mergeCell ref="C47:D47"/>
    <mergeCell ref="B84:D84"/>
    <mergeCell ref="E84:F84"/>
    <mergeCell ref="B86:F86"/>
    <mergeCell ref="B87:F87"/>
    <mergeCell ref="B213:F213"/>
    <mergeCell ref="B214:F214"/>
    <mergeCell ref="C216:D216"/>
    <mergeCell ref="B252:D252"/>
    <mergeCell ref="E252:F252"/>
    <mergeCell ref="B255:F255"/>
    <mergeCell ref="B167:D167"/>
    <mergeCell ref="E167:F167"/>
    <mergeCell ref="B171:F171"/>
    <mergeCell ref="B172:F172"/>
    <mergeCell ref="C174:D174"/>
    <mergeCell ref="B210:D210"/>
    <mergeCell ref="E210:F210"/>
    <mergeCell ref="C300:D300"/>
    <mergeCell ref="B336:D336"/>
    <mergeCell ref="E336:F336"/>
    <mergeCell ref="B339:F339"/>
    <mergeCell ref="B340:F340"/>
    <mergeCell ref="C342:D342"/>
    <mergeCell ref="B256:F256"/>
    <mergeCell ref="C258:D258"/>
    <mergeCell ref="B294:D294"/>
    <mergeCell ref="E294:F294"/>
    <mergeCell ref="B297:F297"/>
    <mergeCell ref="B298:F298"/>
    <mergeCell ref="B423:F423"/>
    <mergeCell ref="B424:F424"/>
    <mergeCell ref="C426:D426"/>
    <mergeCell ref="B462:D462"/>
    <mergeCell ref="E462:F462"/>
    <mergeCell ref="B465:F465"/>
    <mergeCell ref="B378:D378"/>
    <mergeCell ref="E378:F378"/>
    <mergeCell ref="B381:F381"/>
    <mergeCell ref="B382:F382"/>
    <mergeCell ref="C384:D384"/>
    <mergeCell ref="B421:D421"/>
    <mergeCell ref="E421:F421"/>
    <mergeCell ref="C510:D510"/>
    <mergeCell ref="B547:D547"/>
    <mergeCell ref="E547:F547"/>
    <mergeCell ref="B549:F549"/>
    <mergeCell ref="B550:F550"/>
    <mergeCell ref="C552:D552"/>
    <mergeCell ref="B466:F466"/>
    <mergeCell ref="C468:D468"/>
    <mergeCell ref="B505:D505"/>
    <mergeCell ref="E505:F505"/>
    <mergeCell ref="B507:F507"/>
    <mergeCell ref="B508:F508"/>
    <mergeCell ref="B633:F633"/>
    <mergeCell ref="B634:F634"/>
    <mergeCell ref="C636:D636"/>
    <mergeCell ref="B673:D673"/>
    <mergeCell ref="E673:F673"/>
    <mergeCell ref="B675:F675"/>
    <mergeCell ref="B589:D589"/>
    <mergeCell ref="E589:F589"/>
    <mergeCell ref="B591:F591"/>
    <mergeCell ref="B592:F592"/>
    <mergeCell ref="C594:D594"/>
    <mergeCell ref="B630:D630"/>
    <mergeCell ref="E630:F630"/>
    <mergeCell ref="C720:D720"/>
    <mergeCell ref="B757:D757"/>
    <mergeCell ref="E757:F757"/>
    <mergeCell ref="B759:F759"/>
    <mergeCell ref="B760:F760"/>
    <mergeCell ref="C762:D762"/>
    <mergeCell ref="B676:F676"/>
    <mergeCell ref="C678:D678"/>
    <mergeCell ref="B714:D714"/>
    <mergeCell ref="E714:F714"/>
    <mergeCell ref="B717:F717"/>
    <mergeCell ref="B718:F718"/>
    <mergeCell ref="B843:F843"/>
    <mergeCell ref="B844:F844"/>
    <mergeCell ref="C846:D846"/>
    <mergeCell ref="B882:D882"/>
    <mergeCell ref="E882:F882"/>
    <mergeCell ref="B885:F885"/>
    <mergeCell ref="B799:D799"/>
    <mergeCell ref="E799:F799"/>
    <mergeCell ref="B801:F801"/>
    <mergeCell ref="B802:F802"/>
    <mergeCell ref="C804:D804"/>
    <mergeCell ref="B840:D840"/>
    <mergeCell ref="E840:F840"/>
    <mergeCell ref="C931:D931"/>
    <mergeCell ref="B968:D968"/>
    <mergeCell ref="E968:F968"/>
    <mergeCell ref="B886:F886"/>
    <mergeCell ref="C888:D888"/>
    <mergeCell ref="B925:D925"/>
    <mergeCell ref="E925:F925"/>
    <mergeCell ref="B928:F928"/>
    <mergeCell ref="B929:F929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91"/>
  <sheetViews>
    <sheetView topLeftCell="A298" workbookViewId="0">
      <selection activeCell="E257" sqref="E257"/>
    </sheetView>
  </sheetViews>
  <sheetFormatPr defaultRowHeight="15" x14ac:dyDescent="0.25"/>
  <cols>
    <col min="2" max="2" width="40.85546875" customWidth="1"/>
    <col min="6" max="6" width="11.42578125" bestFit="1" customWidth="1"/>
  </cols>
  <sheetData>
    <row r="1" spans="2:6" ht="32.450000000000003" customHeight="1" x14ac:dyDescent="0.25">
      <c r="B1" s="37" t="s">
        <v>192</v>
      </c>
      <c r="C1" s="37"/>
      <c r="D1" s="37"/>
      <c r="E1" s="37"/>
      <c r="F1" s="37"/>
    </row>
    <row r="2" spans="2:6" ht="34.9" customHeight="1" x14ac:dyDescent="0.25">
      <c r="B2" s="37" t="s">
        <v>1</v>
      </c>
      <c r="C2" s="37"/>
      <c r="D2" s="37"/>
      <c r="E2" s="37"/>
      <c r="F2" s="37"/>
    </row>
    <row r="3" spans="2:6" x14ac:dyDescent="0.25">
      <c r="B3" s="16" t="s">
        <v>0</v>
      </c>
      <c r="C3" s="16"/>
      <c r="D3" s="16"/>
      <c r="E3" s="16"/>
      <c r="F3" s="16"/>
    </row>
    <row r="4" spans="2:6" x14ac:dyDescent="0.25">
      <c r="B4" s="17"/>
      <c r="C4" s="38" t="s">
        <v>25</v>
      </c>
      <c r="D4" s="38"/>
      <c r="E4" s="17">
        <v>473.63</v>
      </c>
      <c r="F4" s="17" t="s">
        <v>26</v>
      </c>
    </row>
    <row r="6" spans="2:6" ht="53.45" customHeight="1" x14ac:dyDescent="0.25">
      <c r="B6" s="1" t="s">
        <v>2</v>
      </c>
      <c r="C6" s="1" t="s">
        <v>4</v>
      </c>
      <c r="D6" s="1" t="s">
        <v>3</v>
      </c>
      <c r="E6" s="1" t="s">
        <v>447</v>
      </c>
      <c r="F6" s="1" t="s">
        <v>5</v>
      </c>
    </row>
    <row r="7" spans="2:6" x14ac:dyDescent="0.25">
      <c r="B7" s="1"/>
      <c r="C7" s="1"/>
      <c r="D7" s="1"/>
      <c r="E7" s="1"/>
      <c r="F7" s="1"/>
    </row>
    <row r="8" spans="2:6" x14ac:dyDescent="0.25">
      <c r="B8" s="3" t="s">
        <v>6</v>
      </c>
      <c r="C8" s="1"/>
      <c r="D8" s="1"/>
      <c r="E8" s="1"/>
      <c r="F8" s="1"/>
    </row>
    <row r="9" spans="2:6" x14ac:dyDescent="0.25">
      <c r="B9" s="5" t="s">
        <v>7</v>
      </c>
      <c r="C9" s="1"/>
      <c r="D9" s="1"/>
      <c r="E9" s="1"/>
      <c r="F9" s="5">
        <v>2.0099999999999998</v>
      </c>
    </row>
    <row r="10" spans="2:6" x14ac:dyDescent="0.25">
      <c r="B10" s="5" t="s">
        <v>8</v>
      </c>
      <c r="C10" s="1"/>
      <c r="D10" s="1"/>
      <c r="E10" s="1"/>
      <c r="F10" s="5">
        <v>5.34</v>
      </c>
    </row>
    <row r="11" spans="2:6" ht="24.75" x14ac:dyDescent="0.25">
      <c r="B11" s="5" t="s">
        <v>11</v>
      </c>
      <c r="C11" s="1"/>
      <c r="D11" s="1"/>
      <c r="E11" s="1"/>
      <c r="F11" s="5">
        <v>0.55000000000000004</v>
      </c>
    </row>
    <row r="12" spans="2:6" ht="24.75" x14ac:dyDescent="0.25">
      <c r="B12" s="5" t="s">
        <v>12</v>
      </c>
      <c r="C12" s="1"/>
      <c r="D12" s="1"/>
      <c r="E12" s="1"/>
      <c r="F12" s="5">
        <v>0.53</v>
      </c>
    </row>
    <row r="13" spans="2:6" ht="24.75" x14ac:dyDescent="0.25">
      <c r="B13" s="5" t="s">
        <v>13</v>
      </c>
      <c r="C13" s="1"/>
      <c r="D13" s="1"/>
      <c r="E13" s="1"/>
      <c r="F13" s="5">
        <v>0.19</v>
      </c>
    </row>
    <row r="14" spans="2:6" ht="24.75" x14ac:dyDescent="0.25">
      <c r="B14" s="5" t="s">
        <v>14</v>
      </c>
      <c r="C14" s="1"/>
      <c r="D14" s="1"/>
      <c r="E14" s="1"/>
      <c r="F14" s="5">
        <v>1.25</v>
      </c>
    </row>
    <row r="15" spans="2:6" ht="24.75" x14ac:dyDescent="0.25">
      <c r="B15" s="5" t="s">
        <v>9</v>
      </c>
      <c r="C15" s="1"/>
      <c r="D15" s="1"/>
      <c r="E15" s="1"/>
      <c r="F15" s="5">
        <v>0.26</v>
      </c>
    </row>
    <row r="16" spans="2:6" ht="24.75" x14ac:dyDescent="0.25">
      <c r="B16" s="5" t="s">
        <v>15</v>
      </c>
      <c r="C16" s="1"/>
      <c r="D16" s="1"/>
      <c r="E16" s="1"/>
      <c r="F16" s="5">
        <v>0.27</v>
      </c>
    </row>
    <row r="17" spans="2:6" ht="24.75" x14ac:dyDescent="0.25">
      <c r="B17" s="5" t="s">
        <v>16</v>
      </c>
      <c r="C17" s="1"/>
      <c r="D17" s="1"/>
      <c r="E17" s="1"/>
      <c r="F17" s="5">
        <v>0.28999999999999998</v>
      </c>
    </row>
    <row r="18" spans="2:6" x14ac:dyDescent="0.25">
      <c r="B18" s="5" t="s">
        <v>17</v>
      </c>
      <c r="C18" s="1"/>
      <c r="D18" s="1"/>
      <c r="E18" s="1"/>
      <c r="F18" s="5">
        <v>0.32</v>
      </c>
    </row>
    <row r="19" spans="2:6" x14ac:dyDescent="0.25">
      <c r="B19" s="5" t="s">
        <v>18</v>
      </c>
      <c r="C19" s="1"/>
      <c r="D19" s="1"/>
      <c r="E19" s="1"/>
      <c r="F19" s="5">
        <v>1.97</v>
      </c>
    </row>
    <row r="20" spans="2:6" x14ac:dyDescent="0.25">
      <c r="B20" s="5" t="s">
        <v>19</v>
      </c>
      <c r="C20" s="1"/>
      <c r="D20" s="1"/>
      <c r="E20" s="1"/>
      <c r="F20" s="5">
        <v>3.51</v>
      </c>
    </row>
    <row r="21" spans="2:6" x14ac:dyDescent="0.25">
      <c r="B21" s="10" t="s">
        <v>20</v>
      </c>
      <c r="C21" s="1"/>
      <c r="D21" s="1"/>
      <c r="E21" s="1"/>
      <c r="F21" s="4">
        <f>SUM(F9:F20)</f>
        <v>16.489999999999998</v>
      </c>
    </row>
    <row r="22" spans="2:6" x14ac:dyDescent="0.25">
      <c r="B22" s="3" t="s">
        <v>21</v>
      </c>
      <c r="C22" s="1"/>
      <c r="D22" s="1"/>
      <c r="E22" s="1"/>
      <c r="F22" s="1"/>
    </row>
    <row r="23" spans="2:6" x14ac:dyDescent="0.25">
      <c r="B23" s="15" t="s">
        <v>274</v>
      </c>
      <c r="C23" s="1" t="s">
        <v>265</v>
      </c>
      <c r="D23" s="1">
        <v>3</v>
      </c>
      <c r="E23" s="1">
        <v>30</v>
      </c>
      <c r="F23" s="24">
        <f>E23/532*1000/12</f>
        <v>4.6992481203007515</v>
      </c>
    </row>
    <row r="24" spans="2:6" x14ac:dyDescent="0.25">
      <c r="B24" s="15" t="s">
        <v>275</v>
      </c>
      <c r="C24" s="1" t="s">
        <v>26</v>
      </c>
      <c r="D24" s="1">
        <v>90</v>
      </c>
      <c r="E24" s="1">
        <v>65</v>
      </c>
      <c r="F24" s="24">
        <f t="shared" ref="F24:F34" si="0">E24/532*1000/12</f>
        <v>10.181704260651628</v>
      </c>
    </row>
    <row r="25" spans="2:6" x14ac:dyDescent="0.25">
      <c r="B25" s="15" t="s">
        <v>276</v>
      </c>
      <c r="C25" s="1" t="s">
        <v>26</v>
      </c>
      <c r="D25" s="1">
        <v>450</v>
      </c>
      <c r="E25" s="1">
        <v>360</v>
      </c>
      <c r="F25" s="24">
        <f t="shared" si="0"/>
        <v>56.390977443609017</v>
      </c>
    </row>
    <row r="26" spans="2:6" x14ac:dyDescent="0.25">
      <c r="B26" s="15" t="s">
        <v>258</v>
      </c>
      <c r="C26" s="1" t="s">
        <v>261</v>
      </c>
      <c r="D26" s="1">
        <v>18</v>
      </c>
      <c r="E26" s="1">
        <v>23.5</v>
      </c>
      <c r="F26" s="24">
        <f t="shared" si="0"/>
        <v>3.6810776942355887</v>
      </c>
    </row>
    <row r="27" spans="2:6" x14ac:dyDescent="0.25">
      <c r="B27" s="15" t="s">
        <v>259</v>
      </c>
      <c r="C27" s="1" t="s">
        <v>26</v>
      </c>
      <c r="D27" s="1">
        <v>8</v>
      </c>
      <c r="E27" s="1">
        <v>20</v>
      </c>
      <c r="F27" s="24">
        <f t="shared" si="0"/>
        <v>3.132832080200501</v>
      </c>
    </row>
    <row r="28" spans="2:6" x14ac:dyDescent="0.25">
      <c r="B28" s="1"/>
      <c r="C28" s="1"/>
      <c r="D28" s="1"/>
      <c r="E28" s="1"/>
      <c r="F28" s="24">
        <f t="shared" si="0"/>
        <v>0</v>
      </c>
    </row>
    <row r="29" spans="2:6" x14ac:dyDescent="0.25">
      <c r="B29" s="1"/>
      <c r="C29" s="1"/>
      <c r="D29" s="1"/>
      <c r="E29" s="1"/>
      <c r="F29" s="24">
        <f t="shared" si="0"/>
        <v>0</v>
      </c>
    </row>
    <row r="30" spans="2:6" x14ac:dyDescent="0.25">
      <c r="B30" s="1"/>
      <c r="C30" s="1"/>
      <c r="D30" s="1"/>
      <c r="E30" s="1"/>
      <c r="F30" s="24">
        <f t="shared" si="0"/>
        <v>0</v>
      </c>
    </row>
    <row r="31" spans="2:6" x14ac:dyDescent="0.25">
      <c r="B31" s="1"/>
      <c r="C31" s="1"/>
      <c r="D31" s="1"/>
      <c r="E31" s="1"/>
      <c r="F31" s="24">
        <f t="shared" si="0"/>
        <v>0</v>
      </c>
    </row>
    <row r="32" spans="2:6" x14ac:dyDescent="0.25">
      <c r="B32" s="1"/>
      <c r="C32" s="1"/>
      <c r="D32" s="1"/>
      <c r="E32" s="1"/>
      <c r="F32" s="24">
        <f t="shared" si="0"/>
        <v>0</v>
      </c>
    </row>
    <row r="33" spans="2:6" x14ac:dyDescent="0.25">
      <c r="B33" s="1"/>
      <c r="C33" s="1"/>
      <c r="D33" s="1"/>
      <c r="E33" s="1"/>
      <c r="F33" s="24">
        <f t="shared" si="0"/>
        <v>0</v>
      </c>
    </row>
    <row r="34" spans="2:6" x14ac:dyDescent="0.25">
      <c r="B34" s="1"/>
      <c r="C34" s="1"/>
      <c r="D34" s="1"/>
      <c r="E34" s="1"/>
      <c r="F34" s="24">
        <f t="shared" si="0"/>
        <v>0</v>
      </c>
    </row>
    <row r="35" spans="2:6" x14ac:dyDescent="0.25">
      <c r="B35" s="10" t="s">
        <v>20</v>
      </c>
      <c r="C35" s="1"/>
      <c r="D35" s="1"/>
      <c r="E35" s="4">
        <f>SUM(E23:E34)</f>
        <v>498.5</v>
      </c>
      <c r="F35" s="22">
        <f>SUM(F23:F34)</f>
        <v>78.085839598997481</v>
      </c>
    </row>
    <row r="36" spans="2:6" x14ac:dyDescent="0.25">
      <c r="B36" s="4" t="s">
        <v>22</v>
      </c>
      <c r="C36" s="6"/>
      <c r="D36" s="6"/>
      <c r="E36" s="6"/>
      <c r="F36" s="23">
        <f>F21+F35</f>
        <v>94.575839598997476</v>
      </c>
    </row>
    <row r="37" spans="2:6" x14ac:dyDescent="0.25">
      <c r="B37" s="7"/>
      <c r="C37" s="7"/>
      <c r="D37" s="7"/>
      <c r="E37" s="7"/>
      <c r="F37" s="7"/>
    </row>
    <row r="38" spans="2:6" x14ac:dyDescent="0.25">
      <c r="B38" s="18"/>
      <c r="C38" s="18"/>
      <c r="D38" s="18"/>
      <c r="E38" s="18"/>
      <c r="F38" s="18"/>
    </row>
    <row r="39" spans="2:6" x14ac:dyDescent="0.25">
      <c r="B39" s="18"/>
      <c r="C39" s="18"/>
      <c r="D39" s="18"/>
      <c r="E39" s="18"/>
      <c r="F39" s="18"/>
    </row>
    <row r="40" spans="2:6" x14ac:dyDescent="0.25">
      <c r="B40" s="39" t="s">
        <v>23</v>
      </c>
      <c r="C40" s="38"/>
      <c r="D40" s="38"/>
      <c r="E40" s="39" t="s">
        <v>24</v>
      </c>
      <c r="F40" s="38"/>
    </row>
    <row r="41" spans="2:6" ht="34.15" customHeight="1" x14ac:dyDescent="0.25">
      <c r="B41" s="37" t="s">
        <v>193</v>
      </c>
      <c r="C41" s="37"/>
      <c r="D41" s="37"/>
      <c r="E41" s="37"/>
      <c r="F41" s="37"/>
    </row>
    <row r="42" spans="2:6" ht="34.15" customHeight="1" x14ac:dyDescent="0.25">
      <c r="B42" s="37" t="s">
        <v>1</v>
      </c>
      <c r="C42" s="37"/>
      <c r="D42" s="37"/>
      <c r="E42" s="37"/>
      <c r="F42" s="37"/>
    </row>
    <row r="43" spans="2:6" x14ac:dyDescent="0.25">
      <c r="B43" s="16" t="s">
        <v>0</v>
      </c>
      <c r="C43" s="16"/>
      <c r="D43" s="16"/>
      <c r="E43" s="16"/>
      <c r="F43" s="16"/>
    </row>
    <row r="44" spans="2:6" x14ac:dyDescent="0.25">
      <c r="B44" s="17"/>
      <c r="C44" s="38" t="s">
        <v>25</v>
      </c>
      <c r="D44" s="38"/>
      <c r="E44" s="17">
        <v>683</v>
      </c>
      <c r="F44" s="17" t="s">
        <v>26</v>
      </c>
    </row>
    <row r="46" spans="2:6" ht="60" x14ac:dyDescent="0.25">
      <c r="B46" s="1" t="s">
        <v>2</v>
      </c>
      <c r="C46" s="1" t="s">
        <v>4</v>
      </c>
      <c r="D46" s="1" t="s">
        <v>3</v>
      </c>
      <c r="E46" s="1" t="s">
        <v>447</v>
      </c>
      <c r="F46" s="1" t="s">
        <v>5</v>
      </c>
    </row>
    <row r="47" spans="2:6" x14ac:dyDescent="0.25">
      <c r="B47" s="1"/>
      <c r="C47" s="1"/>
      <c r="D47" s="1"/>
      <c r="E47" s="1"/>
      <c r="F47" s="1"/>
    </row>
    <row r="48" spans="2:6" x14ac:dyDescent="0.25">
      <c r="B48" s="3" t="s">
        <v>6</v>
      </c>
      <c r="C48" s="1"/>
      <c r="D48" s="1"/>
      <c r="E48" s="1"/>
      <c r="F48" s="1"/>
    </row>
    <row r="49" spans="2:6" x14ac:dyDescent="0.25">
      <c r="B49" s="5" t="s">
        <v>7</v>
      </c>
      <c r="C49" s="1"/>
      <c r="D49" s="1"/>
      <c r="E49" s="1"/>
      <c r="F49" s="5">
        <v>2.0099999999999998</v>
      </c>
    </row>
    <row r="50" spans="2:6" x14ac:dyDescent="0.25">
      <c r="B50" s="5" t="s">
        <v>8</v>
      </c>
      <c r="C50" s="1"/>
      <c r="D50" s="1"/>
      <c r="E50" s="1"/>
      <c r="F50" s="5">
        <v>5.34</v>
      </c>
    </row>
    <row r="51" spans="2:6" ht="24.75" x14ac:dyDescent="0.25">
      <c r="B51" s="5" t="s">
        <v>11</v>
      </c>
      <c r="C51" s="1"/>
      <c r="D51" s="1"/>
      <c r="E51" s="1"/>
      <c r="F51" s="5">
        <v>0.55000000000000004</v>
      </c>
    </row>
    <row r="52" spans="2:6" ht="24.75" x14ac:dyDescent="0.25">
      <c r="B52" s="5" t="s">
        <v>12</v>
      </c>
      <c r="C52" s="1"/>
      <c r="D52" s="1"/>
      <c r="E52" s="1"/>
      <c r="F52" s="5">
        <v>0.53</v>
      </c>
    </row>
    <row r="53" spans="2:6" ht="24.75" x14ac:dyDescent="0.25">
      <c r="B53" s="5" t="s">
        <v>13</v>
      </c>
      <c r="C53" s="1"/>
      <c r="D53" s="1"/>
      <c r="E53" s="1"/>
      <c r="F53" s="5">
        <v>0.19</v>
      </c>
    </row>
    <row r="54" spans="2:6" ht="24.75" x14ac:dyDescent="0.25">
      <c r="B54" s="5" t="s">
        <v>14</v>
      </c>
      <c r="C54" s="1"/>
      <c r="D54" s="1"/>
      <c r="E54" s="1"/>
      <c r="F54" s="5">
        <v>1.25</v>
      </c>
    </row>
    <row r="55" spans="2:6" ht="24.75" x14ac:dyDescent="0.25">
      <c r="B55" s="5" t="s">
        <v>9</v>
      </c>
      <c r="C55" s="1"/>
      <c r="D55" s="1"/>
      <c r="E55" s="1"/>
      <c r="F55" s="5">
        <v>0.26</v>
      </c>
    </row>
    <row r="56" spans="2:6" ht="24.75" x14ac:dyDescent="0.25">
      <c r="B56" s="5" t="s">
        <v>15</v>
      </c>
      <c r="C56" s="1"/>
      <c r="D56" s="1"/>
      <c r="E56" s="1"/>
      <c r="F56" s="5">
        <v>0.27</v>
      </c>
    </row>
    <row r="57" spans="2:6" ht="24.75" x14ac:dyDescent="0.25">
      <c r="B57" s="5" t="s">
        <v>16</v>
      </c>
      <c r="C57" s="1"/>
      <c r="D57" s="1"/>
      <c r="E57" s="1"/>
      <c r="F57" s="5">
        <v>0.28999999999999998</v>
      </c>
    </row>
    <row r="58" spans="2:6" x14ac:dyDescent="0.25">
      <c r="B58" s="5" t="s">
        <v>17</v>
      </c>
      <c r="C58" s="1"/>
      <c r="D58" s="1"/>
      <c r="E58" s="1"/>
      <c r="F58" s="5">
        <v>0.32</v>
      </c>
    </row>
    <row r="59" spans="2:6" x14ac:dyDescent="0.25">
      <c r="B59" s="5" t="s">
        <v>18</v>
      </c>
      <c r="C59" s="1"/>
      <c r="D59" s="1"/>
      <c r="E59" s="1"/>
      <c r="F59" s="5">
        <v>1.97</v>
      </c>
    </row>
    <row r="60" spans="2:6" x14ac:dyDescent="0.25">
      <c r="B60" s="5" t="s">
        <v>19</v>
      </c>
      <c r="C60" s="1"/>
      <c r="D60" s="1"/>
      <c r="E60" s="1"/>
      <c r="F60" s="5">
        <v>3.51</v>
      </c>
    </row>
    <row r="61" spans="2:6" x14ac:dyDescent="0.25">
      <c r="B61" s="10" t="s">
        <v>20</v>
      </c>
      <c r="C61" s="1"/>
      <c r="D61" s="1"/>
      <c r="E61" s="1"/>
      <c r="F61" s="4">
        <f>SUM(F49:F60)</f>
        <v>16.489999999999998</v>
      </c>
    </row>
    <row r="62" spans="2:6" x14ac:dyDescent="0.25">
      <c r="B62" s="3" t="s">
        <v>21</v>
      </c>
      <c r="C62" s="1"/>
      <c r="D62" s="1"/>
      <c r="E62" s="1"/>
      <c r="F62" s="1"/>
    </row>
    <row r="63" spans="2:6" x14ac:dyDescent="0.25">
      <c r="B63" s="15" t="s">
        <v>277</v>
      </c>
      <c r="C63" s="1" t="s">
        <v>26</v>
      </c>
      <c r="D63" s="1">
        <v>12</v>
      </c>
      <c r="E63" s="1">
        <v>15</v>
      </c>
      <c r="F63" s="24">
        <f>E63/683*1000/12</f>
        <v>1.8301610541727673</v>
      </c>
    </row>
    <row r="64" spans="2:6" x14ac:dyDescent="0.25">
      <c r="B64" s="15" t="s">
        <v>253</v>
      </c>
      <c r="C64" s="1" t="s">
        <v>26</v>
      </c>
      <c r="D64" s="1">
        <v>105</v>
      </c>
      <c r="E64" s="1">
        <v>75</v>
      </c>
      <c r="F64" s="24">
        <f t="shared" ref="F64:F74" si="1">E64/683*1000/12</f>
        <v>9.1508052708638363</v>
      </c>
    </row>
    <row r="65" spans="2:6" x14ac:dyDescent="0.25">
      <c r="B65" s="15" t="s">
        <v>268</v>
      </c>
      <c r="C65" s="1" t="s">
        <v>26</v>
      </c>
      <c r="D65" s="1">
        <v>70</v>
      </c>
      <c r="E65" s="1">
        <v>45</v>
      </c>
      <c r="F65" s="24">
        <f t="shared" si="1"/>
        <v>5.4904831625183022</v>
      </c>
    </row>
    <row r="66" spans="2:6" x14ac:dyDescent="0.25">
      <c r="B66" s="1"/>
      <c r="C66" s="1"/>
      <c r="D66" s="1"/>
      <c r="E66" s="1"/>
      <c r="F66" s="24">
        <f t="shared" si="1"/>
        <v>0</v>
      </c>
    </row>
    <row r="67" spans="2:6" x14ac:dyDescent="0.25">
      <c r="B67" s="1"/>
      <c r="C67" s="1"/>
      <c r="D67" s="1"/>
      <c r="E67" s="1"/>
      <c r="F67" s="24">
        <f t="shared" si="1"/>
        <v>0</v>
      </c>
    </row>
    <row r="68" spans="2:6" x14ac:dyDescent="0.25">
      <c r="B68" s="1"/>
      <c r="C68" s="1"/>
      <c r="D68" s="1"/>
      <c r="E68" s="1"/>
      <c r="F68" s="24">
        <f t="shared" si="1"/>
        <v>0</v>
      </c>
    </row>
    <row r="69" spans="2:6" x14ac:dyDescent="0.25">
      <c r="B69" s="1"/>
      <c r="C69" s="1"/>
      <c r="D69" s="1"/>
      <c r="E69" s="1"/>
      <c r="F69" s="24">
        <f t="shared" si="1"/>
        <v>0</v>
      </c>
    </row>
    <row r="70" spans="2:6" x14ac:dyDescent="0.25">
      <c r="B70" s="1"/>
      <c r="C70" s="1"/>
      <c r="D70" s="1"/>
      <c r="E70" s="1"/>
      <c r="F70" s="24">
        <f t="shared" si="1"/>
        <v>0</v>
      </c>
    </row>
    <row r="71" spans="2:6" x14ac:dyDescent="0.25">
      <c r="B71" s="1"/>
      <c r="C71" s="1"/>
      <c r="D71" s="1"/>
      <c r="E71" s="1"/>
      <c r="F71" s="24">
        <f t="shared" si="1"/>
        <v>0</v>
      </c>
    </row>
    <row r="72" spans="2:6" x14ac:dyDescent="0.25">
      <c r="B72" s="1"/>
      <c r="C72" s="1"/>
      <c r="D72" s="1"/>
      <c r="E72" s="1"/>
      <c r="F72" s="24">
        <f t="shared" si="1"/>
        <v>0</v>
      </c>
    </row>
    <row r="73" spans="2:6" x14ac:dyDescent="0.25">
      <c r="B73" s="1"/>
      <c r="C73" s="1"/>
      <c r="D73" s="1"/>
      <c r="E73" s="1"/>
      <c r="F73" s="24">
        <f t="shared" si="1"/>
        <v>0</v>
      </c>
    </row>
    <row r="74" spans="2:6" x14ac:dyDescent="0.25">
      <c r="B74" s="1"/>
      <c r="C74" s="1"/>
      <c r="D74" s="1"/>
      <c r="E74" s="1"/>
      <c r="F74" s="24">
        <f t="shared" si="1"/>
        <v>0</v>
      </c>
    </row>
    <row r="75" spans="2:6" x14ac:dyDescent="0.25">
      <c r="B75" s="10" t="s">
        <v>20</v>
      </c>
      <c r="C75" s="1"/>
      <c r="D75" s="1"/>
      <c r="E75" s="4">
        <f>SUM(E63:E74)</f>
        <v>135</v>
      </c>
      <c r="F75" s="22">
        <f>SUM(F63:F74)</f>
        <v>16.471449487554906</v>
      </c>
    </row>
    <row r="76" spans="2:6" x14ac:dyDescent="0.25">
      <c r="B76" s="4" t="s">
        <v>22</v>
      </c>
      <c r="C76" s="6"/>
      <c r="D76" s="6"/>
      <c r="E76" s="6"/>
      <c r="F76" s="23">
        <f>F61+F75</f>
        <v>32.961449487554901</v>
      </c>
    </row>
    <row r="77" spans="2:6" x14ac:dyDescent="0.25">
      <c r="B77" s="7"/>
      <c r="C77" s="7"/>
      <c r="D77" s="7"/>
      <c r="E77" s="7"/>
      <c r="F77" s="7"/>
    </row>
    <row r="78" spans="2:6" x14ac:dyDescent="0.25">
      <c r="B78" s="18"/>
      <c r="C78" s="18"/>
      <c r="D78" s="18"/>
      <c r="E78" s="18"/>
      <c r="F78" s="18"/>
    </row>
    <row r="79" spans="2:6" x14ac:dyDescent="0.25">
      <c r="B79" s="18"/>
      <c r="C79" s="18"/>
      <c r="D79" s="18"/>
      <c r="E79" s="18"/>
      <c r="F79" s="18"/>
    </row>
    <row r="80" spans="2:6" x14ac:dyDescent="0.25">
      <c r="B80" s="39" t="s">
        <v>23</v>
      </c>
      <c r="C80" s="38"/>
      <c r="D80" s="38"/>
      <c r="E80" s="39" t="s">
        <v>24</v>
      </c>
      <c r="F80" s="38"/>
    </row>
    <row r="83" spans="2:6" ht="30.6" customHeight="1" x14ac:dyDescent="0.25">
      <c r="B83" s="37" t="s">
        <v>194</v>
      </c>
      <c r="C83" s="37"/>
      <c r="D83" s="37"/>
      <c r="E83" s="37"/>
      <c r="F83" s="37"/>
    </row>
    <row r="84" spans="2:6" ht="30" customHeight="1" x14ac:dyDescent="0.25">
      <c r="B84" s="37" t="s">
        <v>1</v>
      </c>
      <c r="C84" s="37"/>
      <c r="D84" s="37"/>
      <c r="E84" s="37"/>
      <c r="F84" s="37"/>
    </row>
    <row r="85" spans="2:6" x14ac:dyDescent="0.25">
      <c r="B85" s="16" t="s">
        <v>0</v>
      </c>
      <c r="C85" s="16"/>
      <c r="D85" s="16"/>
      <c r="E85" s="16"/>
      <c r="F85" s="16"/>
    </row>
    <row r="86" spans="2:6" x14ac:dyDescent="0.25">
      <c r="B86" s="17"/>
      <c r="C86" s="38" t="s">
        <v>25</v>
      </c>
      <c r="D86" s="38"/>
      <c r="E86" s="17">
        <v>367.8</v>
      </c>
      <c r="F86" s="17" t="s">
        <v>26</v>
      </c>
    </row>
    <row r="88" spans="2:6" ht="60" x14ac:dyDescent="0.25">
      <c r="B88" s="1" t="s">
        <v>2</v>
      </c>
      <c r="C88" s="1" t="s">
        <v>4</v>
      </c>
      <c r="D88" s="1" t="s">
        <v>3</v>
      </c>
      <c r="E88" s="1" t="s">
        <v>447</v>
      </c>
      <c r="F88" s="1" t="s">
        <v>5</v>
      </c>
    </row>
    <row r="89" spans="2:6" x14ac:dyDescent="0.25">
      <c r="B89" s="1"/>
      <c r="C89" s="1"/>
      <c r="D89" s="1"/>
      <c r="E89" s="1"/>
      <c r="F89" s="1"/>
    </row>
    <row r="90" spans="2:6" x14ac:dyDescent="0.25">
      <c r="B90" s="3" t="s">
        <v>6</v>
      </c>
      <c r="C90" s="1"/>
      <c r="D90" s="1"/>
      <c r="E90" s="1"/>
      <c r="F90" s="1"/>
    </row>
    <row r="91" spans="2:6" x14ac:dyDescent="0.25">
      <c r="B91" s="5" t="s">
        <v>7</v>
      </c>
      <c r="C91" s="1"/>
      <c r="D91" s="1"/>
      <c r="E91" s="1"/>
      <c r="F91" s="5">
        <v>2.0099999999999998</v>
      </c>
    </row>
    <row r="92" spans="2:6" x14ac:dyDescent="0.25">
      <c r="B92" s="5" t="s">
        <v>8</v>
      </c>
      <c r="C92" s="1"/>
      <c r="D92" s="1"/>
      <c r="E92" s="1"/>
      <c r="F92" s="5">
        <v>5.34</v>
      </c>
    </row>
    <row r="93" spans="2:6" ht="24.75" x14ac:dyDescent="0.25">
      <c r="B93" s="5" t="s">
        <v>11</v>
      </c>
      <c r="C93" s="1"/>
      <c r="D93" s="1"/>
      <c r="E93" s="1"/>
      <c r="F93" s="5">
        <v>0.55000000000000004</v>
      </c>
    </row>
    <row r="94" spans="2:6" ht="24.75" x14ac:dyDescent="0.25">
      <c r="B94" s="5" t="s">
        <v>12</v>
      </c>
      <c r="C94" s="1"/>
      <c r="D94" s="1"/>
      <c r="E94" s="1"/>
      <c r="F94" s="5">
        <v>0.53</v>
      </c>
    </row>
    <row r="95" spans="2:6" ht="24.75" x14ac:dyDescent="0.25">
      <c r="B95" s="5" t="s">
        <v>13</v>
      </c>
      <c r="C95" s="1"/>
      <c r="D95" s="1"/>
      <c r="E95" s="1"/>
      <c r="F95" s="5">
        <v>0.19</v>
      </c>
    </row>
    <row r="96" spans="2:6" ht="24.75" x14ac:dyDescent="0.25">
      <c r="B96" s="5" t="s">
        <v>14</v>
      </c>
      <c r="C96" s="1"/>
      <c r="D96" s="1"/>
      <c r="E96" s="1"/>
      <c r="F96" s="5">
        <v>1.25</v>
      </c>
    </row>
    <row r="97" spans="2:6" ht="24.75" x14ac:dyDescent="0.25">
      <c r="B97" s="5" t="s">
        <v>9</v>
      </c>
      <c r="C97" s="1"/>
      <c r="D97" s="1"/>
      <c r="E97" s="1"/>
      <c r="F97" s="5">
        <v>0.26</v>
      </c>
    </row>
    <row r="98" spans="2:6" ht="24.75" x14ac:dyDescent="0.25">
      <c r="B98" s="5" t="s">
        <v>15</v>
      </c>
      <c r="C98" s="1"/>
      <c r="D98" s="1"/>
      <c r="E98" s="1"/>
      <c r="F98" s="5">
        <v>0.27</v>
      </c>
    </row>
    <row r="99" spans="2:6" ht="24.75" x14ac:dyDescent="0.25">
      <c r="B99" s="5" t="s">
        <v>16</v>
      </c>
      <c r="C99" s="1"/>
      <c r="D99" s="1"/>
      <c r="E99" s="1"/>
      <c r="F99" s="5">
        <v>0.28999999999999998</v>
      </c>
    </row>
    <row r="100" spans="2:6" x14ac:dyDescent="0.25">
      <c r="B100" s="5" t="s">
        <v>17</v>
      </c>
      <c r="C100" s="1"/>
      <c r="D100" s="1"/>
      <c r="E100" s="1"/>
      <c r="F100" s="5">
        <v>0.32</v>
      </c>
    </row>
    <row r="101" spans="2:6" x14ac:dyDescent="0.25">
      <c r="B101" s="5" t="s">
        <v>18</v>
      </c>
      <c r="C101" s="1"/>
      <c r="D101" s="1"/>
      <c r="E101" s="1"/>
      <c r="F101" s="5">
        <v>1.97</v>
      </c>
    </row>
    <row r="102" spans="2:6" x14ac:dyDescent="0.25">
      <c r="B102" s="5" t="s">
        <v>19</v>
      </c>
      <c r="C102" s="1"/>
      <c r="D102" s="1"/>
      <c r="E102" s="1"/>
      <c r="F102" s="5">
        <v>3.51</v>
      </c>
    </row>
    <row r="103" spans="2:6" x14ac:dyDescent="0.25">
      <c r="B103" s="10" t="s">
        <v>20</v>
      </c>
      <c r="C103" s="1"/>
      <c r="D103" s="1"/>
      <c r="E103" s="1"/>
      <c r="F103" s="4">
        <f>SUM(F91:F102)</f>
        <v>16.489999999999998</v>
      </c>
    </row>
    <row r="104" spans="2:6" x14ac:dyDescent="0.25">
      <c r="B104" s="3" t="s">
        <v>21</v>
      </c>
      <c r="C104" s="1"/>
      <c r="D104" s="1"/>
      <c r="E104" s="1"/>
      <c r="F104" s="1"/>
    </row>
    <row r="105" spans="2:6" x14ac:dyDescent="0.25">
      <c r="B105" s="15" t="s">
        <v>252</v>
      </c>
      <c r="C105" s="1" t="s">
        <v>256</v>
      </c>
      <c r="D105" s="1">
        <v>2</v>
      </c>
      <c r="E105" s="1">
        <v>80</v>
      </c>
      <c r="F105" s="24">
        <f>E105/367.8*1000/12</f>
        <v>18.125793003443899</v>
      </c>
    </row>
    <row r="106" spans="2:6" x14ac:dyDescent="0.25">
      <c r="B106" s="15" t="s">
        <v>269</v>
      </c>
      <c r="C106" s="1" t="s">
        <v>261</v>
      </c>
      <c r="D106" s="1">
        <v>6</v>
      </c>
      <c r="E106" s="1">
        <v>30</v>
      </c>
      <c r="F106" s="24">
        <f t="shared" ref="F106:F116" si="2">E106/367.8*1000/12</f>
        <v>6.7971723762914626</v>
      </c>
    </row>
    <row r="107" spans="2:6" x14ac:dyDescent="0.25">
      <c r="B107" s="15" t="s">
        <v>278</v>
      </c>
      <c r="C107" s="1" t="s">
        <v>26</v>
      </c>
      <c r="D107" s="1">
        <v>12</v>
      </c>
      <c r="E107" s="1">
        <v>6</v>
      </c>
      <c r="F107" s="24">
        <f t="shared" si="2"/>
        <v>1.3594344752582925</v>
      </c>
    </row>
    <row r="108" spans="2:6" x14ac:dyDescent="0.25">
      <c r="B108" s="15" t="s">
        <v>253</v>
      </c>
      <c r="C108" s="1" t="s">
        <v>26</v>
      </c>
      <c r="D108" s="1">
        <v>110</v>
      </c>
      <c r="E108" s="1">
        <v>80</v>
      </c>
      <c r="F108" s="24">
        <f t="shared" si="2"/>
        <v>18.125793003443899</v>
      </c>
    </row>
    <row r="109" spans="2:6" x14ac:dyDescent="0.25">
      <c r="B109" s="15" t="s">
        <v>279</v>
      </c>
      <c r="C109" s="1" t="s">
        <v>26</v>
      </c>
      <c r="D109" s="1">
        <v>8</v>
      </c>
      <c r="E109" s="1">
        <v>5</v>
      </c>
      <c r="F109" s="24">
        <f t="shared" si="2"/>
        <v>1.1328620627152437</v>
      </c>
    </row>
    <row r="110" spans="2:6" x14ac:dyDescent="0.25">
      <c r="B110" s="15" t="s">
        <v>254</v>
      </c>
      <c r="C110" s="1" t="s">
        <v>26</v>
      </c>
      <c r="D110" s="1">
        <v>80</v>
      </c>
      <c r="E110" s="1">
        <v>50</v>
      </c>
      <c r="F110" s="24">
        <f t="shared" si="2"/>
        <v>11.328620627152439</v>
      </c>
    </row>
    <row r="111" spans="2:6" x14ac:dyDescent="0.25">
      <c r="B111" s="1"/>
      <c r="C111" s="1"/>
      <c r="D111" s="1"/>
      <c r="E111" s="1"/>
      <c r="F111" s="24">
        <f t="shared" si="2"/>
        <v>0</v>
      </c>
    </row>
    <row r="112" spans="2:6" x14ac:dyDescent="0.25">
      <c r="B112" s="1"/>
      <c r="C112" s="1"/>
      <c r="D112" s="1"/>
      <c r="E112" s="1"/>
      <c r="F112" s="24">
        <f t="shared" si="2"/>
        <v>0</v>
      </c>
    </row>
    <row r="113" spans="2:6" x14ac:dyDescent="0.25">
      <c r="B113" s="1"/>
      <c r="C113" s="1"/>
      <c r="D113" s="1"/>
      <c r="E113" s="1"/>
      <c r="F113" s="24">
        <f t="shared" si="2"/>
        <v>0</v>
      </c>
    </row>
    <row r="114" spans="2:6" x14ac:dyDescent="0.25">
      <c r="B114" s="1"/>
      <c r="C114" s="1"/>
      <c r="D114" s="1"/>
      <c r="E114" s="1"/>
      <c r="F114" s="24">
        <f t="shared" si="2"/>
        <v>0</v>
      </c>
    </row>
    <row r="115" spans="2:6" x14ac:dyDescent="0.25">
      <c r="B115" s="1"/>
      <c r="C115" s="1"/>
      <c r="D115" s="1"/>
      <c r="E115" s="1"/>
      <c r="F115" s="24">
        <f t="shared" si="2"/>
        <v>0</v>
      </c>
    </row>
    <row r="116" spans="2:6" x14ac:dyDescent="0.25">
      <c r="B116" s="1"/>
      <c r="C116" s="1"/>
      <c r="D116" s="1"/>
      <c r="E116" s="1"/>
      <c r="F116" s="24">
        <f t="shared" si="2"/>
        <v>0</v>
      </c>
    </row>
    <row r="117" spans="2:6" x14ac:dyDescent="0.25">
      <c r="B117" s="10" t="s">
        <v>20</v>
      </c>
      <c r="C117" s="1"/>
      <c r="D117" s="1"/>
      <c r="E117" s="4">
        <f>SUM(E105:E116)</f>
        <v>251</v>
      </c>
      <c r="F117" s="22">
        <f>SUM(F105:F116)</f>
        <v>56.869675548305239</v>
      </c>
    </row>
    <row r="118" spans="2:6" x14ac:dyDescent="0.25">
      <c r="B118" s="4" t="s">
        <v>22</v>
      </c>
      <c r="C118" s="6"/>
      <c r="D118" s="6"/>
      <c r="E118" s="6"/>
      <c r="F118" s="23">
        <f>F103+F117</f>
        <v>73.359675548305233</v>
      </c>
    </row>
    <row r="119" spans="2:6" x14ac:dyDescent="0.25">
      <c r="B119" s="7"/>
      <c r="C119" s="7"/>
      <c r="D119" s="7"/>
      <c r="E119" s="7"/>
      <c r="F119" s="7"/>
    </row>
    <row r="120" spans="2:6" x14ac:dyDescent="0.25">
      <c r="B120" s="18"/>
      <c r="C120" s="18"/>
      <c r="D120" s="18"/>
      <c r="E120" s="18"/>
      <c r="F120" s="18"/>
    </row>
    <row r="121" spans="2:6" x14ac:dyDescent="0.25">
      <c r="B121" s="18"/>
      <c r="C121" s="18"/>
      <c r="D121" s="18"/>
      <c r="E121" s="18"/>
      <c r="F121" s="18"/>
    </row>
    <row r="122" spans="2:6" x14ac:dyDescent="0.25">
      <c r="B122" s="39" t="s">
        <v>23</v>
      </c>
      <c r="C122" s="38"/>
      <c r="D122" s="38"/>
      <c r="E122" s="39" t="s">
        <v>24</v>
      </c>
      <c r="F122" s="38"/>
    </row>
    <row r="125" spans="2:6" ht="29.45" customHeight="1" x14ac:dyDescent="0.25">
      <c r="B125" s="37" t="s">
        <v>195</v>
      </c>
      <c r="C125" s="37"/>
      <c r="D125" s="37"/>
      <c r="E125" s="37"/>
      <c r="F125" s="37"/>
    </row>
    <row r="126" spans="2:6" ht="27.6" customHeight="1" x14ac:dyDescent="0.25">
      <c r="B126" s="37" t="s">
        <v>1</v>
      </c>
      <c r="C126" s="37"/>
      <c r="D126" s="37"/>
      <c r="E126" s="37"/>
      <c r="F126" s="37"/>
    </row>
    <row r="127" spans="2:6" x14ac:dyDescent="0.25">
      <c r="B127" s="16" t="s">
        <v>0</v>
      </c>
      <c r="C127" s="16"/>
      <c r="D127" s="16"/>
      <c r="E127" s="16"/>
      <c r="F127" s="16"/>
    </row>
    <row r="128" spans="2:6" x14ac:dyDescent="0.25">
      <c r="B128" s="17"/>
      <c r="C128" s="38" t="s">
        <v>25</v>
      </c>
      <c r="D128" s="38"/>
      <c r="E128" s="17">
        <v>659.8</v>
      </c>
      <c r="F128" s="17" t="s">
        <v>26</v>
      </c>
    </row>
    <row r="130" spans="2:6" ht="60" x14ac:dyDescent="0.25">
      <c r="B130" s="1" t="s">
        <v>2</v>
      </c>
      <c r="C130" s="1" t="s">
        <v>4</v>
      </c>
      <c r="D130" s="1" t="s">
        <v>3</v>
      </c>
      <c r="E130" s="1" t="s">
        <v>447</v>
      </c>
      <c r="F130" s="1" t="s">
        <v>5</v>
      </c>
    </row>
    <row r="131" spans="2:6" x14ac:dyDescent="0.25">
      <c r="B131" s="1"/>
      <c r="C131" s="1"/>
      <c r="D131" s="1"/>
      <c r="E131" s="1"/>
      <c r="F131" s="1"/>
    </row>
    <row r="132" spans="2:6" x14ac:dyDescent="0.25">
      <c r="B132" s="3" t="s">
        <v>6</v>
      </c>
      <c r="C132" s="1"/>
      <c r="D132" s="1"/>
      <c r="E132" s="1"/>
      <c r="F132" s="1"/>
    </row>
    <row r="133" spans="2:6" x14ac:dyDescent="0.25">
      <c r="B133" s="5" t="s">
        <v>7</v>
      </c>
      <c r="C133" s="1"/>
      <c r="D133" s="1"/>
      <c r="E133" s="1"/>
      <c r="F133" s="5">
        <v>2.0099999999999998</v>
      </c>
    </row>
    <row r="134" spans="2:6" x14ac:dyDescent="0.25">
      <c r="B134" s="5" t="s">
        <v>8</v>
      </c>
      <c r="C134" s="1"/>
      <c r="D134" s="1"/>
      <c r="E134" s="1"/>
      <c r="F134" s="5">
        <v>5.34</v>
      </c>
    </row>
    <row r="135" spans="2:6" ht="24.75" x14ac:dyDescent="0.25">
      <c r="B135" s="5" t="s">
        <v>11</v>
      </c>
      <c r="C135" s="1"/>
      <c r="D135" s="1"/>
      <c r="E135" s="1"/>
      <c r="F135" s="5">
        <v>0.55000000000000004</v>
      </c>
    </row>
    <row r="136" spans="2:6" ht="24.75" x14ac:dyDescent="0.25">
      <c r="B136" s="5" t="s">
        <v>12</v>
      </c>
      <c r="C136" s="1"/>
      <c r="D136" s="1"/>
      <c r="E136" s="1"/>
      <c r="F136" s="5">
        <v>0.53</v>
      </c>
    </row>
    <row r="137" spans="2:6" ht="24.75" x14ac:dyDescent="0.25">
      <c r="B137" s="5" t="s">
        <v>13</v>
      </c>
      <c r="C137" s="1"/>
      <c r="D137" s="1"/>
      <c r="E137" s="1"/>
      <c r="F137" s="5">
        <v>0.19</v>
      </c>
    </row>
    <row r="138" spans="2:6" ht="24.75" x14ac:dyDescent="0.25">
      <c r="B138" s="5" t="s">
        <v>9</v>
      </c>
      <c r="C138" s="1"/>
      <c r="D138" s="1"/>
      <c r="E138" s="1"/>
      <c r="F138" s="5">
        <v>0.26</v>
      </c>
    </row>
    <row r="139" spans="2:6" ht="24.75" x14ac:dyDescent="0.25">
      <c r="B139" s="5" t="s">
        <v>15</v>
      </c>
      <c r="C139" s="1"/>
      <c r="D139" s="1"/>
      <c r="E139" s="1"/>
      <c r="F139" s="5">
        <v>0.27</v>
      </c>
    </row>
    <row r="140" spans="2:6" ht="24.75" x14ac:dyDescent="0.25">
      <c r="B140" s="5" t="s">
        <v>16</v>
      </c>
      <c r="C140" s="1"/>
      <c r="D140" s="1"/>
      <c r="E140" s="1"/>
      <c r="F140" s="5">
        <v>0.28999999999999998</v>
      </c>
    </row>
    <row r="141" spans="2:6" x14ac:dyDescent="0.25">
      <c r="B141" s="5" t="s">
        <v>17</v>
      </c>
      <c r="C141" s="1"/>
      <c r="D141" s="1"/>
      <c r="E141" s="1"/>
      <c r="F141" s="5">
        <v>0.32</v>
      </c>
    </row>
    <row r="142" spans="2:6" x14ac:dyDescent="0.25">
      <c r="B142" s="5" t="s">
        <v>18</v>
      </c>
      <c r="C142" s="1"/>
      <c r="D142" s="1"/>
      <c r="E142" s="1"/>
      <c r="F142" s="5">
        <v>1.97</v>
      </c>
    </row>
    <row r="143" spans="2:6" x14ac:dyDescent="0.25">
      <c r="B143" s="5" t="s">
        <v>19</v>
      </c>
      <c r="C143" s="1"/>
      <c r="D143" s="1"/>
      <c r="E143" s="1"/>
      <c r="F143" s="5">
        <v>3.51</v>
      </c>
    </row>
    <row r="144" spans="2:6" x14ac:dyDescent="0.25">
      <c r="B144" s="10" t="s">
        <v>20</v>
      </c>
      <c r="C144" s="1"/>
      <c r="D144" s="1"/>
      <c r="E144" s="1"/>
      <c r="F144" s="4">
        <f>SUM(F133:F143)</f>
        <v>15.239999999999998</v>
      </c>
    </row>
    <row r="145" spans="2:6" x14ac:dyDescent="0.25">
      <c r="B145" s="3" t="s">
        <v>21</v>
      </c>
      <c r="C145" s="1"/>
      <c r="D145" s="1"/>
      <c r="E145" s="1"/>
      <c r="F145" s="1"/>
    </row>
    <row r="146" spans="2:6" x14ac:dyDescent="0.25">
      <c r="B146" s="15" t="s">
        <v>252</v>
      </c>
      <c r="C146" s="1" t="s">
        <v>256</v>
      </c>
      <c r="D146" s="1">
        <v>3</v>
      </c>
      <c r="E146" s="1">
        <v>120</v>
      </c>
      <c r="F146" s="24">
        <f>E146/659.8*1000/12</f>
        <v>15.156107911488332</v>
      </c>
    </row>
    <row r="147" spans="2:6" x14ac:dyDescent="0.25">
      <c r="B147" s="15" t="s">
        <v>275</v>
      </c>
      <c r="C147" s="1" t="s">
        <v>26</v>
      </c>
      <c r="D147" s="1">
        <v>115</v>
      </c>
      <c r="E147" s="1">
        <v>85</v>
      </c>
      <c r="F147" s="24">
        <f t="shared" ref="F147:F157" si="3">E147/659.8*1000/12</f>
        <v>10.735576437304234</v>
      </c>
    </row>
    <row r="148" spans="2:6" x14ac:dyDescent="0.25">
      <c r="B148" s="15" t="s">
        <v>280</v>
      </c>
      <c r="C148" s="1" t="s">
        <v>26</v>
      </c>
      <c r="D148" s="1">
        <v>18</v>
      </c>
      <c r="E148" s="1">
        <v>10</v>
      </c>
      <c r="F148" s="24">
        <f t="shared" si="3"/>
        <v>1.2630089926240275</v>
      </c>
    </row>
    <row r="149" spans="2:6" x14ac:dyDescent="0.25">
      <c r="B149" s="15" t="s">
        <v>276</v>
      </c>
      <c r="C149" s="1" t="s">
        <v>26</v>
      </c>
      <c r="D149" s="1">
        <v>480</v>
      </c>
      <c r="E149" s="1">
        <v>385</v>
      </c>
      <c r="F149" s="24">
        <f t="shared" si="3"/>
        <v>48.62584621602506</v>
      </c>
    </row>
    <row r="150" spans="2:6" x14ac:dyDescent="0.25">
      <c r="B150" s="15" t="s">
        <v>255</v>
      </c>
      <c r="C150" s="1" t="s">
        <v>26</v>
      </c>
      <c r="D150" s="1">
        <v>8</v>
      </c>
      <c r="E150" s="1">
        <v>20</v>
      </c>
      <c r="F150" s="24">
        <f t="shared" si="3"/>
        <v>2.5260179852480551</v>
      </c>
    </row>
    <row r="151" spans="2:6" x14ac:dyDescent="0.25">
      <c r="B151" s="15" t="s">
        <v>259</v>
      </c>
      <c r="C151" s="1" t="s">
        <v>26</v>
      </c>
      <c r="D151" s="1">
        <v>4</v>
      </c>
      <c r="E151" s="1">
        <v>8</v>
      </c>
      <c r="F151" s="24">
        <f t="shared" si="3"/>
        <v>1.0104071940992221</v>
      </c>
    </row>
    <row r="152" spans="2:6" x14ac:dyDescent="0.25">
      <c r="B152" s="1"/>
      <c r="C152" s="1"/>
      <c r="D152" s="1"/>
      <c r="E152" s="1"/>
      <c r="F152" s="24">
        <f t="shared" si="3"/>
        <v>0</v>
      </c>
    </row>
    <row r="153" spans="2:6" x14ac:dyDescent="0.25">
      <c r="B153" s="1"/>
      <c r="C153" s="1"/>
      <c r="D153" s="1"/>
      <c r="E153" s="1"/>
      <c r="F153" s="24">
        <f t="shared" si="3"/>
        <v>0</v>
      </c>
    </row>
    <row r="154" spans="2:6" x14ac:dyDescent="0.25">
      <c r="B154" s="1"/>
      <c r="C154" s="1"/>
      <c r="D154" s="1"/>
      <c r="E154" s="1"/>
      <c r="F154" s="24">
        <f t="shared" si="3"/>
        <v>0</v>
      </c>
    </row>
    <row r="155" spans="2:6" x14ac:dyDescent="0.25">
      <c r="B155" s="1"/>
      <c r="C155" s="1"/>
      <c r="D155" s="1"/>
      <c r="E155" s="1"/>
      <c r="F155" s="24">
        <f t="shared" si="3"/>
        <v>0</v>
      </c>
    </row>
    <row r="156" spans="2:6" x14ac:dyDescent="0.25">
      <c r="B156" s="1"/>
      <c r="C156" s="1"/>
      <c r="D156" s="1"/>
      <c r="E156" s="1"/>
      <c r="F156" s="24">
        <f t="shared" si="3"/>
        <v>0</v>
      </c>
    </row>
    <row r="157" spans="2:6" x14ac:dyDescent="0.25">
      <c r="B157" s="1"/>
      <c r="C157" s="1"/>
      <c r="D157" s="1"/>
      <c r="E157" s="1"/>
      <c r="F157" s="24">
        <f t="shared" si="3"/>
        <v>0</v>
      </c>
    </row>
    <row r="158" spans="2:6" x14ac:dyDescent="0.25">
      <c r="B158" s="10" t="s">
        <v>20</v>
      </c>
      <c r="C158" s="1"/>
      <c r="D158" s="1"/>
      <c r="E158" s="4">
        <f>SUM(E146:E157)</f>
        <v>628</v>
      </c>
      <c r="F158" s="22">
        <f>SUM(F146:F157)</f>
        <v>79.316964736788933</v>
      </c>
    </row>
    <row r="159" spans="2:6" x14ac:dyDescent="0.25">
      <c r="B159" s="4" t="s">
        <v>22</v>
      </c>
      <c r="C159" s="6"/>
      <c r="D159" s="6"/>
      <c r="E159" s="6"/>
      <c r="F159" s="23">
        <f>F144+F158</f>
        <v>94.556964736788927</v>
      </c>
    </row>
    <row r="160" spans="2:6" x14ac:dyDescent="0.25">
      <c r="B160" s="7"/>
      <c r="C160" s="7"/>
      <c r="D160" s="7"/>
      <c r="E160" s="7"/>
      <c r="F160" s="7"/>
    </row>
    <row r="161" spans="2:6" x14ac:dyDescent="0.25">
      <c r="B161" s="18"/>
      <c r="C161" s="18"/>
      <c r="D161" s="18"/>
      <c r="E161" s="18"/>
      <c r="F161" s="18"/>
    </row>
    <row r="162" spans="2:6" x14ac:dyDescent="0.25">
      <c r="B162" s="18"/>
      <c r="C162" s="18"/>
      <c r="D162" s="18"/>
      <c r="E162" s="18"/>
      <c r="F162" s="18"/>
    </row>
    <row r="163" spans="2:6" x14ac:dyDescent="0.25">
      <c r="B163" s="39" t="s">
        <v>23</v>
      </c>
      <c r="C163" s="38"/>
      <c r="D163" s="38"/>
      <c r="E163" s="39" t="s">
        <v>24</v>
      </c>
      <c r="F163" s="38"/>
    </row>
    <row r="168" spans="2:6" ht="30" customHeight="1" x14ac:dyDescent="0.25">
      <c r="B168" s="37" t="s">
        <v>196</v>
      </c>
      <c r="C168" s="37"/>
      <c r="D168" s="37"/>
      <c r="E168" s="37"/>
      <c r="F168" s="37"/>
    </row>
    <row r="169" spans="2:6" ht="31.15" customHeight="1" x14ac:dyDescent="0.25">
      <c r="B169" s="37" t="s">
        <v>1</v>
      </c>
      <c r="C169" s="37"/>
      <c r="D169" s="37"/>
      <c r="E169" s="37"/>
      <c r="F169" s="37"/>
    </row>
    <row r="170" spans="2:6" x14ac:dyDescent="0.25">
      <c r="B170" s="16" t="s">
        <v>0</v>
      </c>
      <c r="C170" s="16"/>
      <c r="D170" s="16"/>
      <c r="E170" s="16"/>
      <c r="F170" s="16"/>
    </row>
    <row r="171" spans="2:6" x14ac:dyDescent="0.25">
      <c r="B171" s="17"/>
      <c r="C171" s="38" t="s">
        <v>25</v>
      </c>
      <c r="D171" s="38"/>
      <c r="E171" s="17">
        <v>92.7</v>
      </c>
      <c r="F171" s="17" t="s">
        <v>26</v>
      </c>
    </row>
    <row r="173" spans="2:6" ht="60" x14ac:dyDescent="0.25">
      <c r="B173" s="1" t="s">
        <v>2</v>
      </c>
      <c r="C173" s="1" t="s">
        <v>4</v>
      </c>
      <c r="D173" s="1" t="s">
        <v>3</v>
      </c>
      <c r="E173" s="1" t="s">
        <v>447</v>
      </c>
      <c r="F173" s="1" t="s">
        <v>5</v>
      </c>
    </row>
    <row r="174" spans="2:6" x14ac:dyDescent="0.25">
      <c r="B174" s="1"/>
      <c r="C174" s="1"/>
      <c r="D174" s="1"/>
      <c r="E174" s="1"/>
      <c r="F174" s="1"/>
    </row>
    <row r="175" spans="2:6" x14ac:dyDescent="0.25">
      <c r="B175" s="3" t="s">
        <v>6</v>
      </c>
      <c r="C175" s="1"/>
      <c r="D175" s="1"/>
      <c r="E175" s="1"/>
      <c r="F175" s="1"/>
    </row>
    <row r="176" spans="2:6" x14ac:dyDescent="0.25">
      <c r="B176" s="5" t="s">
        <v>7</v>
      </c>
      <c r="C176" s="1"/>
      <c r="D176" s="1"/>
      <c r="E176" s="1"/>
      <c r="F176" s="5">
        <v>2.0099999999999998</v>
      </c>
    </row>
    <row r="177" spans="2:6" x14ac:dyDescent="0.25">
      <c r="B177" s="5" t="s">
        <v>8</v>
      </c>
      <c r="C177" s="1"/>
      <c r="D177" s="1"/>
      <c r="E177" s="1"/>
      <c r="F177" s="5">
        <v>5.34</v>
      </c>
    </row>
    <row r="178" spans="2:6" ht="24.75" x14ac:dyDescent="0.25">
      <c r="B178" s="5" t="s">
        <v>11</v>
      </c>
      <c r="C178" s="1"/>
      <c r="D178" s="1"/>
      <c r="E178" s="1"/>
      <c r="F178" s="5">
        <v>0.55000000000000004</v>
      </c>
    </row>
    <row r="179" spans="2:6" ht="24.75" x14ac:dyDescent="0.25">
      <c r="B179" s="5" t="s">
        <v>12</v>
      </c>
      <c r="C179" s="1"/>
      <c r="D179" s="1"/>
      <c r="E179" s="1"/>
      <c r="F179" s="5">
        <v>0.53</v>
      </c>
    </row>
    <row r="180" spans="2:6" ht="24.75" x14ac:dyDescent="0.25">
      <c r="B180" s="5" t="s">
        <v>13</v>
      </c>
      <c r="C180" s="1"/>
      <c r="D180" s="1"/>
      <c r="E180" s="1"/>
      <c r="F180" s="5">
        <v>0.19</v>
      </c>
    </row>
    <row r="181" spans="2:6" ht="24.75" x14ac:dyDescent="0.25">
      <c r="B181" s="5" t="s">
        <v>14</v>
      </c>
      <c r="C181" s="1"/>
      <c r="D181" s="1"/>
      <c r="E181" s="1"/>
      <c r="F181" s="5">
        <v>1.25</v>
      </c>
    </row>
    <row r="182" spans="2:6" ht="24.75" x14ac:dyDescent="0.25">
      <c r="B182" s="5" t="s">
        <v>9</v>
      </c>
      <c r="C182" s="1"/>
      <c r="D182" s="1"/>
      <c r="E182" s="1"/>
      <c r="F182" s="5">
        <v>0.26</v>
      </c>
    </row>
    <row r="183" spans="2:6" ht="24.75" x14ac:dyDescent="0.25">
      <c r="B183" s="5" t="s">
        <v>15</v>
      </c>
      <c r="C183" s="1"/>
      <c r="D183" s="1"/>
      <c r="E183" s="1"/>
      <c r="F183" s="5">
        <v>0.27</v>
      </c>
    </row>
    <row r="184" spans="2:6" ht="24.75" x14ac:dyDescent="0.25">
      <c r="B184" s="5" t="s">
        <v>16</v>
      </c>
      <c r="C184" s="1"/>
      <c r="D184" s="1"/>
      <c r="E184" s="1"/>
      <c r="F184" s="5">
        <v>0.28999999999999998</v>
      </c>
    </row>
    <row r="185" spans="2:6" x14ac:dyDescent="0.25">
      <c r="B185" s="5" t="s">
        <v>17</v>
      </c>
      <c r="C185" s="1"/>
      <c r="D185" s="1"/>
      <c r="E185" s="1"/>
      <c r="F185" s="5">
        <v>0.32</v>
      </c>
    </row>
    <row r="186" spans="2:6" x14ac:dyDescent="0.25">
      <c r="B186" s="5" t="s">
        <v>18</v>
      </c>
      <c r="C186" s="1"/>
      <c r="D186" s="1"/>
      <c r="E186" s="1"/>
      <c r="F186" s="5">
        <v>1.97</v>
      </c>
    </row>
    <row r="187" spans="2:6" x14ac:dyDescent="0.25">
      <c r="B187" s="5" t="s">
        <v>19</v>
      </c>
      <c r="C187" s="1"/>
      <c r="D187" s="1"/>
      <c r="E187" s="1"/>
      <c r="F187" s="5">
        <v>3.51</v>
      </c>
    </row>
    <row r="188" spans="2:6" x14ac:dyDescent="0.25">
      <c r="B188" s="10" t="s">
        <v>20</v>
      </c>
      <c r="C188" s="1"/>
      <c r="D188" s="1"/>
      <c r="E188" s="1"/>
      <c r="F188" s="4">
        <f>SUM(F176:F187)</f>
        <v>16.489999999999998</v>
      </c>
    </row>
    <row r="189" spans="2:6" x14ac:dyDescent="0.25">
      <c r="B189" s="3" t="s">
        <v>21</v>
      </c>
      <c r="C189" s="1"/>
      <c r="D189" s="1"/>
      <c r="E189" s="1"/>
      <c r="F189" s="1"/>
    </row>
    <row r="190" spans="2:6" x14ac:dyDescent="0.25">
      <c r="B190" s="26" t="s">
        <v>310</v>
      </c>
      <c r="C190" s="1" t="s">
        <v>26</v>
      </c>
      <c r="D190" s="1">
        <v>30</v>
      </c>
      <c r="E190" s="1">
        <v>33</v>
      </c>
      <c r="F190" s="24">
        <f>E190/92.7*1000/12</f>
        <v>29.665587918015103</v>
      </c>
    </row>
    <row r="191" spans="2:6" x14ac:dyDescent="0.25">
      <c r="B191" s="15" t="s">
        <v>254</v>
      </c>
      <c r="C191" s="1" t="s">
        <v>26</v>
      </c>
      <c r="D191" s="1">
        <v>25</v>
      </c>
      <c r="E191" s="1">
        <v>15</v>
      </c>
      <c r="F191" s="24">
        <f t="shared" ref="F191:F201" si="4">E191/92.7*1000/12</f>
        <v>13.484358144552319</v>
      </c>
    </row>
    <row r="192" spans="2:6" x14ac:dyDescent="0.25">
      <c r="B192" s="26" t="s">
        <v>311</v>
      </c>
      <c r="C192" s="1" t="s">
        <v>261</v>
      </c>
      <c r="D192" s="1">
        <v>12</v>
      </c>
      <c r="E192" s="1">
        <v>16</v>
      </c>
      <c r="F192" s="24">
        <f t="shared" si="4"/>
        <v>14.383315354189138</v>
      </c>
    </row>
    <row r="193" spans="2:6" x14ac:dyDescent="0.25">
      <c r="B193" s="26"/>
      <c r="C193" s="1"/>
      <c r="D193" s="1"/>
      <c r="E193" s="1"/>
      <c r="F193" s="24">
        <f t="shared" si="4"/>
        <v>0</v>
      </c>
    </row>
    <row r="194" spans="2:6" x14ac:dyDescent="0.25">
      <c r="B194" s="1"/>
      <c r="C194" s="1"/>
      <c r="D194" s="1"/>
      <c r="E194" s="1"/>
      <c r="F194" s="24">
        <f t="shared" si="4"/>
        <v>0</v>
      </c>
    </row>
    <row r="195" spans="2:6" x14ac:dyDescent="0.25">
      <c r="B195" s="1"/>
      <c r="C195" s="1"/>
      <c r="D195" s="1"/>
      <c r="E195" s="1"/>
      <c r="F195" s="24">
        <f t="shared" si="4"/>
        <v>0</v>
      </c>
    </row>
    <row r="196" spans="2:6" x14ac:dyDescent="0.25">
      <c r="B196" s="1"/>
      <c r="C196" s="1"/>
      <c r="D196" s="1"/>
      <c r="E196" s="1"/>
      <c r="F196" s="24">
        <f t="shared" si="4"/>
        <v>0</v>
      </c>
    </row>
    <row r="197" spans="2:6" x14ac:dyDescent="0.25">
      <c r="B197" s="1"/>
      <c r="C197" s="1"/>
      <c r="D197" s="1"/>
      <c r="E197" s="1"/>
      <c r="F197" s="24">
        <f t="shared" si="4"/>
        <v>0</v>
      </c>
    </row>
    <row r="198" spans="2:6" x14ac:dyDescent="0.25">
      <c r="B198" s="1"/>
      <c r="C198" s="1"/>
      <c r="D198" s="1"/>
      <c r="E198" s="1"/>
      <c r="F198" s="24">
        <f t="shared" si="4"/>
        <v>0</v>
      </c>
    </row>
    <row r="199" spans="2:6" x14ac:dyDescent="0.25">
      <c r="B199" s="1"/>
      <c r="C199" s="1"/>
      <c r="D199" s="1"/>
      <c r="E199" s="1"/>
      <c r="F199" s="24">
        <f t="shared" si="4"/>
        <v>0</v>
      </c>
    </row>
    <row r="200" spans="2:6" x14ac:dyDescent="0.25">
      <c r="B200" s="1"/>
      <c r="C200" s="1"/>
      <c r="D200" s="1"/>
      <c r="E200" s="1"/>
      <c r="F200" s="24">
        <f t="shared" si="4"/>
        <v>0</v>
      </c>
    </row>
    <row r="201" spans="2:6" x14ac:dyDescent="0.25">
      <c r="B201" s="1"/>
      <c r="C201" s="1"/>
      <c r="D201" s="1"/>
      <c r="E201" s="1"/>
      <c r="F201" s="24">
        <f t="shared" si="4"/>
        <v>0</v>
      </c>
    </row>
    <row r="202" spans="2:6" x14ac:dyDescent="0.25">
      <c r="B202" s="10" t="s">
        <v>20</v>
      </c>
      <c r="C202" s="1"/>
      <c r="D202" s="1"/>
      <c r="E202" s="4">
        <f>SUM(E190:E201)</f>
        <v>64</v>
      </c>
      <c r="F202" s="22">
        <f>SUM(F190:F201)</f>
        <v>57.533261416756559</v>
      </c>
    </row>
    <row r="203" spans="2:6" x14ac:dyDescent="0.25">
      <c r="B203" s="4" t="s">
        <v>22</v>
      </c>
      <c r="C203" s="6"/>
      <c r="D203" s="6"/>
      <c r="E203" s="6"/>
      <c r="F203" s="23">
        <f>F188+F202</f>
        <v>74.023261416756554</v>
      </c>
    </row>
    <row r="204" spans="2:6" x14ac:dyDescent="0.25">
      <c r="B204" s="7"/>
      <c r="C204" s="7"/>
      <c r="D204" s="7"/>
      <c r="E204" s="7"/>
      <c r="F204" s="7"/>
    </row>
    <row r="205" spans="2:6" x14ac:dyDescent="0.25">
      <c r="B205" s="18"/>
      <c r="C205" s="18"/>
      <c r="D205" s="18"/>
      <c r="E205" s="18"/>
      <c r="F205" s="18"/>
    </row>
    <row r="206" spans="2:6" x14ac:dyDescent="0.25">
      <c r="B206" s="18"/>
      <c r="C206" s="18"/>
      <c r="D206" s="18"/>
      <c r="E206" s="18"/>
      <c r="F206" s="18"/>
    </row>
    <row r="207" spans="2:6" x14ac:dyDescent="0.25">
      <c r="B207" s="39" t="s">
        <v>23</v>
      </c>
      <c r="C207" s="38"/>
      <c r="D207" s="38"/>
      <c r="E207" s="39" t="s">
        <v>24</v>
      </c>
      <c r="F207" s="38"/>
    </row>
    <row r="210" spans="2:6" ht="33.6" customHeight="1" x14ac:dyDescent="0.25">
      <c r="B210" s="37" t="s">
        <v>197</v>
      </c>
      <c r="C210" s="37"/>
      <c r="D210" s="37"/>
      <c r="E210" s="37"/>
      <c r="F210" s="37"/>
    </row>
    <row r="211" spans="2:6" ht="33.6" customHeight="1" x14ac:dyDescent="0.25">
      <c r="B211" s="37" t="s">
        <v>1</v>
      </c>
      <c r="C211" s="37"/>
      <c r="D211" s="37"/>
      <c r="E211" s="37"/>
      <c r="F211" s="37"/>
    </row>
    <row r="212" spans="2:6" x14ac:dyDescent="0.25">
      <c r="B212" s="16" t="s">
        <v>0</v>
      </c>
      <c r="C212" s="16"/>
      <c r="D212" s="16"/>
      <c r="E212" s="16"/>
      <c r="F212" s="16"/>
    </row>
    <row r="213" spans="2:6" x14ac:dyDescent="0.25">
      <c r="B213" s="17"/>
      <c r="C213" s="38" t="s">
        <v>25</v>
      </c>
      <c r="D213" s="38"/>
      <c r="E213" s="17">
        <v>385.5</v>
      </c>
      <c r="F213" s="17" t="s">
        <v>26</v>
      </c>
    </row>
    <row r="215" spans="2:6" ht="60" x14ac:dyDescent="0.25">
      <c r="B215" s="1" t="s">
        <v>2</v>
      </c>
      <c r="C215" s="1" t="s">
        <v>4</v>
      </c>
      <c r="D215" s="1" t="s">
        <v>3</v>
      </c>
      <c r="E215" s="1" t="s">
        <v>447</v>
      </c>
      <c r="F215" s="1" t="s">
        <v>5</v>
      </c>
    </row>
    <row r="216" spans="2:6" x14ac:dyDescent="0.25">
      <c r="B216" s="1"/>
      <c r="C216" s="1"/>
      <c r="D216" s="1"/>
      <c r="E216" s="1"/>
      <c r="F216" s="1"/>
    </row>
    <row r="217" spans="2:6" x14ac:dyDescent="0.25">
      <c r="B217" s="3" t="s">
        <v>6</v>
      </c>
      <c r="C217" s="1"/>
      <c r="D217" s="1"/>
      <c r="E217" s="1"/>
      <c r="F217" s="1"/>
    </row>
    <row r="218" spans="2:6" x14ac:dyDescent="0.25">
      <c r="B218" s="5" t="s">
        <v>7</v>
      </c>
      <c r="C218" s="1"/>
      <c r="D218" s="1"/>
      <c r="E218" s="1"/>
      <c r="F218" s="5">
        <v>2.0099999999999998</v>
      </c>
    </row>
    <row r="219" spans="2:6" x14ac:dyDescent="0.25">
      <c r="B219" s="5" t="s">
        <v>8</v>
      </c>
      <c r="C219" s="1"/>
      <c r="D219" s="1"/>
      <c r="E219" s="1"/>
      <c r="F219" s="5">
        <v>5.34</v>
      </c>
    </row>
    <row r="220" spans="2:6" ht="24.75" x14ac:dyDescent="0.25">
      <c r="B220" s="5" t="s">
        <v>11</v>
      </c>
      <c r="C220" s="1"/>
      <c r="D220" s="1"/>
      <c r="E220" s="1"/>
      <c r="F220" s="5">
        <v>0.55000000000000004</v>
      </c>
    </row>
    <row r="221" spans="2:6" ht="24.75" x14ac:dyDescent="0.25">
      <c r="B221" s="5" t="s">
        <v>12</v>
      </c>
      <c r="C221" s="1"/>
      <c r="D221" s="1"/>
      <c r="E221" s="1"/>
      <c r="F221" s="5">
        <v>0.53</v>
      </c>
    </row>
    <row r="222" spans="2:6" ht="24.75" x14ac:dyDescent="0.25">
      <c r="B222" s="5" t="s">
        <v>13</v>
      </c>
      <c r="C222" s="1"/>
      <c r="D222" s="1"/>
      <c r="E222" s="1"/>
      <c r="F222" s="5">
        <v>0.19</v>
      </c>
    </row>
    <row r="223" spans="2:6" ht="24.75" x14ac:dyDescent="0.25">
      <c r="B223" s="5" t="s">
        <v>14</v>
      </c>
      <c r="C223" s="1"/>
      <c r="D223" s="1"/>
      <c r="E223" s="1"/>
      <c r="F223" s="5">
        <v>1.25</v>
      </c>
    </row>
    <row r="224" spans="2:6" ht="24.75" x14ac:dyDescent="0.25">
      <c r="B224" s="5" t="s">
        <v>9</v>
      </c>
      <c r="C224" s="1"/>
      <c r="D224" s="1"/>
      <c r="E224" s="1"/>
      <c r="F224" s="5">
        <v>0.26</v>
      </c>
    </row>
    <row r="225" spans="2:6" ht="24.75" x14ac:dyDescent="0.25">
      <c r="B225" s="5" t="s">
        <v>15</v>
      </c>
      <c r="C225" s="1"/>
      <c r="D225" s="1"/>
      <c r="E225" s="1"/>
      <c r="F225" s="5">
        <v>0.27</v>
      </c>
    </row>
    <row r="226" spans="2:6" ht="24.75" x14ac:dyDescent="0.25">
      <c r="B226" s="5" t="s">
        <v>16</v>
      </c>
      <c r="C226" s="1"/>
      <c r="D226" s="1"/>
      <c r="E226" s="1"/>
      <c r="F226" s="5">
        <v>0.28999999999999998</v>
      </c>
    </row>
    <row r="227" spans="2:6" x14ac:dyDescent="0.25">
      <c r="B227" s="5" t="s">
        <v>17</v>
      </c>
      <c r="C227" s="1"/>
      <c r="D227" s="1"/>
      <c r="E227" s="1"/>
      <c r="F227" s="5">
        <v>0.32</v>
      </c>
    </row>
    <row r="228" spans="2:6" x14ac:dyDescent="0.25">
      <c r="B228" s="5" t="s">
        <v>18</v>
      </c>
      <c r="C228" s="1"/>
      <c r="D228" s="1"/>
      <c r="E228" s="1"/>
      <c r="F228" s="5">
        <v>1.97</v>
      </c>
    </row>
    <row r="229" spans="2:6" x14ac:dyDescent="0.25">
      <c r="B229" s="5" t="s">
        <v>19</v>
      </c>
      <c r="C229" s="1"/>
      <c r="D229" s="1"/>
      <c r="E229" s="1"/>
      <c r="F229" s="5">
        <v>3.51</v>
      </c>
    </row>
    <row r="230" spans="2:6" x14ac:dyDescent="0.25">
      <c r="B230" s="10" t="s">
        <v>20</v>
      </c>
      <c r="C230" s="1"/>
      <c r="D230" s="1"/>
      <c r="E230" s="1"/>
      <c r="F230" s="4">
        <f>SUM(F218:F229)</f>
        <v>16.489999999999998</v>
      </c>
    </row>
    <row r="231" spans="2:6" x14ac:dyDescent="0.25">
      <c r="B231" s="3" t="s">
        <v>21</v>
      </c>
      <c r="C231" s="1"/>
      <c r="D231" s="1"/>
      <c r="E231" s="1"/>
      <c r="F231" s="1"/>
    </row>
    <row r="232" spans="2:6" x14ac:dyDescent="0.25">
      <c r="B232" s="15" t="s">
        <v>276</v>
      </c>
      <c r="C232" s="1" t="s">
        <v>26</v>
      </c>
      <c r="D232" s="1">
        <v>450</v>
      </c>
      <c r="E232" s="1">
        <v>360</v>
      </c>
      <c r="F232" s="24">
        <f>E232/385.5*1000/12</f>
        <v>77.821011673151745</v>
      </c>
    </row>
    <row r="233" spans="2:6" x14ac:dyDescent="0.25">
      <c r="B233" s="15" t="s">
        <v>260</v>
      </c>
      <c r="C233" s="1" t="s">
        <v>256</v>
      </c>
      <c r="D233" s="1">
        <v>1</v>
      </c>
      <c r="E233" s="1">
        <v>55</v>
      </c>
      <c r="F233" s="24">
        <f t="shared" ref="F233:F243" si="5">E233/385.5*1000/12</f>
        <v>11.889321227842629</v>
      </c>
    </row>
    <row r="234" spans="2:6" x14ac:dyDescent="0.25">
      <c r="B234" s="1"/>
      <c r="C234" s="1"/>
      <c r="D234" s="1"/>
      <c r="E234" s="1"/>
      <c r="F234" s="24">
        <f t="shared" si="5"/>
        <v>0</v>
      </c>
    </row>
    <row r="235" spans="2:6" x14ac:dyDescent="0.25">
      <c r="B235" s="1"/>
      <c r="C235" s="1"/>
      <c r="D235" s="1"/>
      <c r="E235" s="1"/>
      <c r="F235" s="24">
        <f t="shared" si="5"/>
        <v>0</v>
      </c>
    </row>
    <row r="236" spans="2:6" x14ac:dyDescent="0.25">
      <c r="B236" s="1"/>
      <c r="C236" s="1"/>
      <c r="D236" s="1"/>
      <c r="E236" s="1"/>
      <c r="F236" s="24">
        <f t="shared" si="5"/>
        <v>0</v>
      </c>
    </row>
    <row r="237" spans="2:6" x14ac:dyDescent="0.25">
      <c r="B237" s="1"/>
      <c r="C237" s="1"/>
      <c r="D237" s="1"/>
      <c r="E237" s="1"/>
      <c r="F237" s="24">
        <f t="shared" si="5"/>
        <v>0</v>
      </c>
    </row>
    <row r="238" spans="2:6" x14ac:dyDescent="0.25">
      <c r="B238" s="1"/>
      <c r="C238" s="1"/>
      <c r="D238" s="1"/>
      <c r="E238" s="1"/>
      <c r="F238" s="24">
        <f t="shared" si="5"/>
        <v>0</v>
      </c>
    </row>
    <row r="239" spans="2:6" x14ac:dyDescent="0.25">
      <c r="B239" s="1"/>
      <c r="C239" s="1"/>
      <c r="D239" s="1"/>
      <c r="E239" s="1"/>
      <c r="F239" s="24">
        <f t="shared" si="5"/>
        <v>0</v>
      </c>
    </row>
    <row r="240" spans="2:6" x14ac:dyDescent="0.25">
      <c r="B240" s="1"/>
      <c r="C240" s="1"/>
      <c r="D240" s="1"/>
      <c r="E240" s="1"/>
      <c r="F240" s="24">
        <f t="shared" si="5"/>
        <v>0</v>
      </c>
    </row>
    <row r="241" spans="2:6" x14ac:dyDescent="0.25">
      <c r="B241" s="1"/>
      <c r="C241" s="1"/>
      <c r="D241" s="1"/>
      <c r="E241" s="1"/>
      <c r="F241" s="24">
        <f t="shared" si="5"/>
        <v>0</v>
      </c>
    </row>
    <row r="242" spans="2:6" x14ac:dyDescent="0.25">
      <c r="B242" s="1"/>
      <c r="C242" s="1"/>
      <c r="D242" s="1"/>
      <c r="E242" s="1"/>
      <c r="F242" s="24">
        <f t="shared" si="5"/>
        <v>0</v>
      </c>
    </row>
    <row r="243" spans="2:6" x14ac:dyDescent="0.25">
      <c r="B243" s="1"/>
      <c r="C243" s="1"/>
      <c r="D243" s="1"/>
      <c r="E243" s="1"/>
      <c r="F243" s="24">
        <f t="shared" si="5"/>
        <v>0</v>
      </c>
    </row>
    <row r="244" spans="2:6" x14ac:dyDescent="0.25">
      <c r="B244" s="10" t="s">
        <v>20</v>
      </c>
      <c r="C244" s="1"/>
      <c r="D244" s="1"/>
      <c r="E244" s="4">
        <f>SUM(E232:E243)</f>
        <v>415</v>
      </c>
      <c r="F244" s="22">
        <f>SUM(F232:F243)</f>
        <v>89.710332900994374</v>
      </c>
    </row>
    <row r="245" spans="2:6" x14ac:dyDescent="0.25">
      <c r="B245" s="4" t="s">
        <v>22</v>
      </c>
      <c r="C245" s="6"/>
      <c r="D245" s="6"/>
      <c r="E245" s="6"/>
      <c r="F245" s="23">
        <f>F230+F244</f>
        <v>106.20033290099437</v>
      </c>
    </row>
    <row r="246" spans="2:6" x14ac:dyDescent="0.25">
      <c r="B246" s="7"/>
      <c r="C246" s="7"/>
      <c r="D246" s="7"/>
      <c r="E246" s="7"/>
      <c r="F246" s="7"/>
    </row>
    <row r="247" spans="2:6" x14ac:dyDescent="0.25">
      <c r="B247" s="18"/>
      <c r="C247" s="18"/>
      <c r="D247" s="18"/>
      <c r="E247" s="18"/>
      <c r="F247" s="18"/>
    </row>
    <row r="248" spans="2:6" x14ac:dyDescent="0.25">
      <c r="B248" s="18"/>
      <c r="C248" s="18"/>
      <c r="D248" s="18"/>
      <c r="E248" s="18"/>
      <c r="F248" s="18"/>
    </row>
    <row r="249" spans="2:6" x14ac:dyDescent="0.25">
      <c r="B249" s="39" t="s">
        <v>23</v>
      </c>
      <c r="C249" s="38"/>
      <c r="D249" s="38"/>
      <c r="E249" s="39" t="s">
        <v>24</v>
      </c>
      <c r="F249" s="38"/>
    </row>
    <row r="252" spans="2:6" ht="27.6" customHeight="1" x14ac:dyDescent="0.25">
      <c r="B252" s="37" t="s">
        <v>198</v>
      </c>
      <c r="C252" s="37"/>
      <c r="D252" s="37"/>
      <c r="E252" s="37"/>
      <c r="F252" s="37"/>
    </row>
    <row r="253" spans="2:6" ht="28.15" customHeight="1" x14ac:dyDescent="0.25">
      <c r="B253" s="37" t="s">
        <v>1</v>
      </c>
      <c r="C253" s="37"/>
      <c r="D253" s="37"/>
      <c r="E253" s="37"/>
      <c r="F253" s="37"/>
    </row>
    <row r="254" spans="2:6" x14ac:dyDescent="0.25">
      <c r="B254" s="16" t="s">
        <v>0</v>
      </c>
      <c r="C254" s="16"/>
      <c r="D254" s="16"/>
      <c r="E254" s="16"/>
      <c r="F254" s="16"/>
    </row>
    <row r="255" spans="2:6" x14ac:dyDescent="0.25">
      <c r="B255" s="17"/>
      <c r="C255" s="38" t="s">
        <v>25</v>
      </c>
      <c r="D255" s="38"/>
      <c r="E255" s="17">
        <v>532</v>
      </c>
      <c r="F255" s="17" t="s">
        <v>26</v>
      </c>
    </row>
    <row r="257" spans="2:6" ht="60" x14ac:dyDescent="0.25">
      <c r="B257" s="1" t="s">
        <v>2</v>
      </c>
      <c r="C257" s="1" t="s">
        <v>4</v>
      </c>
      <c r="D257" s="1" t="s">
        <v>3</v>
      </c>
      <c r="E257" s="1" t="s">
        <v>447</v>
      </c>
      <c r="F257" s="1" t="s">
        <v>5</v>
      </c>
    </row>
    <row r="258" spans="2:6" x14ac:dyDescent="0.25">
      <c r="B258" s="1"/>
      <c r="C258" s="1"/>
      <c r="D258" s="1"/>
      <c r="E258" s="1"/>
      <c r="F258" s="1"/>
    </row>
    <row r="259" spans="2:6" x14ac:dyDescent="0.25">
      <c r="B259" s="3" t="s">
        <v>6</v>
      </c>
      <c r="C259" s="1"/>
      <c r="D259" s="1"/>
      <c r="E259" s="1"/>
      <c r="F259" s="1"/>
    </row>
    <row r="260" spans="2:6" x14ac:dyDescent="0.25">
      <c r="B260" s="5" t="s">
        <v>7</v>
      </c>
      <c r="C260" s="1"/>
      <c r="D260" s="1"/>
      <c r="E260" s="1"/>
      <c r="F260" s="5">
        <v>2.0099999999999998</v>
      </c>
    </row>
    <row r="261" spans="2:6" x14ac:dyDescent="0.25">
      <c r="B261" s="5" t="s">
        <v>8</v>
      </c>
      <c r="C261" s="1"/>
      <c r="D261" s="1"/>
      <c r="E261" s="1"/>
      <c r="F261" s="5">
        <v>5.34</v>
      </c>
    </row>
    <row r="262" spans="2:6" ht="24.75" x14ac:dyDescent="0.25">
      <c r="B262" s="5" t="s">
        <v>11</v>
      </c>
      <c r="C262" s="1"/>
      <c r="D262" s="1"/>
      <c r="E262" s="1"/>
      <c r="F262" s="5">
        <v>0.55000000000000004</v>
      </c>
    </row>
    <row r="263" spans="2:6" ht="24.75" x14ac:dyDescent="0.25">
      <c r="B263" s="5" t="s">
        <v>12</v>
      </c>
      <c r="C263" s="1"/>
      <c r="D263" s="1"/>
      <c r="E263" s="1"/>
      <c r="F263" s="5">
        <v>0.53</v>
      </c>
    </row>
    <row r="264" spans="2:6" ht="24.75" x14ac:dyDescent="0.25">
      <c r="B264" s="5" t="s">
        <v>13</v>
      </c>
      <c r="C264" s="1"/>
      <c r="D264" s="1"/>
      <c r="E264" s="1"/>
      <c r="F264" s="5">
        <v>0.19</v>
      </c>
    </row>
    <row r="265" spans="2:6" ht="24.75" x14ac:dyDescent="0.25">
      <c r="B265" s="5" t="s">
        <v>14</v>
      </c>
      <c r="C265" s="1"/>
      <c r="D265" s="1"/>
      <c r="E265" s="1"/>
      <c r="F265" s="5">
        <v>1.25</v>
      </c>
    </row>
    <row r="266" spans="2:6" ht="24.75" x14ac:dyDescent="0.25">
      <c r="B266" s="5" t="s">
        <v>9</v>
      </c>
      <c r="C266" s="1"/>
      <c r="D266" s="1"/>
      <c r="E266" s="1"/>
      <c r="F266" s="5">
        <v>0.26</v>
      </c>
    </row>
    <row r="267" spans="2:6" ht="24.75" x14ac:dyDescent="0.25">
      <c r="B267" s="5" t="s">
        <v>15</v>
      </c>
      <c r="C267" s="1"/>
      <c r="D267" s="1"/>
      <c r="E267" s="1"/>
      <c r="F267" s="5">
        <v>0.27</v>
      </c>
    </row>
    <row r="268" spans="2:6" ht="24.75" x14ac:dyDescent="0.25">
      <c r="B268" s="5" t="s">
        <v>16</v>
      </c>
      <c r="C268" s="1"/>
      <c r="D268" s="1"/>
      <c r="E268" s="1"/>
      <c r="F268" s="5">
        <v>0.28999999999999998</v>
      </c>
    </row>
    <row r="269" spans="2:6" x14ac:dyDescent="0.25">
      <c r="B269" s="5" t="s">
        <v>17</v>
      </c>
      <c r="C269" s="1"/>
      <c r="D269" s="1"/>
      <c r="E269" s="1"/>
      <c r="F269" s="5">
        <v>0.32</v>
      </c>
    </row>
    <row r="270" spans="2:6" x14ac:dyDescent="0.25">
      <c r="B270" s="5" t="s">
        <v>18</v>
      </c>
      <c r="C270" s="1"/>
      <c r="D270" s="1"/>
      <c r="E270" s="1"/>
      <c r="F270" s="5">
        <v>1.97</v>
      </c>
    </row>
    <row r="271" spans="2:6" x14ac:dyDescent="0.25">
      <c r="B271" s="5" t="s">
        <v>19</v>
      </c>
      <c r="C271" s="1"/>
      <c r="D271" s="1"/>
      <c r="E271" s="1"/>
      <c r="F271" s="5">
        <v>3.51</v>
      </c>
    </row>
    <row r="272" spans="2:6" x14ac:dyDescent="0.25">
      <c r="B272" s="10" t="s">
        <v>20</v>
      </c>
      <c r="C272" s="1"/>
      <c r="D272" s="1"/>
      <c r="E272" s="1"/>
      <c r="F272" s="4">
        <f>SUM(F260:F271)</f>
        <v>16.489999999999998</v>
      </c>
    </row>
    <row r="273" spans="2:6" x14ac:dyDescent="0.25">
      <c r="B273" s="3" t="s">
        <v>21</v>
      </c>
      <c r="C273" s="1"/>
      <c r="D273" s="1"/>
      <c r="E273" s="1"/>
      <c r="F273" s="1"/>
    </row>
    <row r="274" spans="2:6" x14ac:dyDescent="0.25">
      <c r="B274" s="15" t="s">
        <v>252</v>
      </c>
      <c r="C274" s="1" t="s">
        <v>256</v>
      </c>
      <c r="D274" s="1">
        <v>2</v>
      </c>
      <c r="E274" s="1">
        <v>80</v>
      </c>
      <c r="F274" s="24">
        <f>E274/532*1000/12</f>
        <v>12.531328320802004</v>
      </c>
    </row>
    <row r="275" spans="2:6" x14ac:dyDescent="0.25">
      <c r="B275" s="15" t="s">
        <v>281</v>
      </c>
      <c r="C275" s="1" t="s">
        <v>26</v>
      </c>
      <c r="D275" s="1">
        <v>40</v>
      </c>
      <c r="E275" s="1">
        <v>40</v>
      </c>
      <c r="F275" s="24">
        <f t="shared" ref="F275:F285" si="6">E275/532*1000/12</f>
        <v>6.2656641604010019</v>
      </c>
    </row>
    <row r="276" spans="2:6" x14ac:dyDescent="0.25">
      <c r="B276" s="15" t="s">
        <v>276</v>
      </c>
      <c r="C276" s="1" t="s">
        <v>26</v>
      </c>
      <c r="D276" s="1">
        <v>420</v>
      </c>
      <c r="E276" s="1">
        <v>340</v>
      </c>
      <c r="F276" s="24">
        <f t="shared" si="6"/>
        <v>53.258145363408524</v>
      </c>
    </row>
    <row r="277" spans="2:6" x14ac:dyDescent="0.25">
      <c r="B277" s="15" t="s">
        <v>253</v>
      </c>
      <c r="C277" s="1" t="s">
        <v>26</v>
      </c>
      <c r="D277" s="1">
        <v>86</v>
      </c>
      <c r="E277" s="1">
        <v>60.5</v>
      </c>
      <c r="F277" s="24">
        <f t="shared" si="6"/>
        <v>9.4768170426065161</v>
      </c>
    </row>
    <row r="278" spans="2:6" x14ac:dyDescent="0.25">
      <c r="B278" s="15" t="s">
        <v>280</v>
      </c>
      <c r="C278" s="1" t="s">
        <v>26</v>
      </c>
      <c r="D278" s="1">
        <v>24</v>
      </c>
      <c r="E278" s="1">
        <v>15</v>
      </c>
      <c r="F278" s="24">
        <f t="shared" si="6"/>
        <v>2.3496240601503757</v>
      </c>
    </row>
    <row r="279" spans="2:6" x14ac:dyDescent="0.25">
      <c r="B279" s="15" t="s">
        <v>260</v>
      </c>
      <c r="C279" s="1" t="s">
        <v>256</v>
      </c>
      <c r="D279" s="1">
        <v>2</v>
      </c>
      <c r="E279" s="1">
        <v>110</v>
      </c>
      <c r="F279" s="24">
        <f t="shared" si="6"/>
        <v>17.230576441102755</v>
      </c>
    </row>
    <row r="280" spans="2:6" x14ac:dyDescent="0.25">
      <c r="B280" s="15" t="s">
        <v>282</v>
      </c>
      <c r="C280" s="1"/>
      <c r="D280" s="1"/>
      <c r="E280" s="1">
        <v>500</v>
      </c>
      <c r="F280" s="24">
        <f t="shared" si="6"/>
        <v>78.320802005012538</v>
      </c>
    </row>
    <row r="281" spans="2:6" x14ac:dyDescent="0.25">
      <c r="B281" s="15"/>
      <c r="C281" s="1"/>
      <c r="D281" s="1"/>
      <c r="E281" s="1"/>
      <c r="F281" s="24">
        <f t="shared" si="6"/>
        <v>0</v>
      </c>
    </row>
    <row r="282" spans="2:6" x14ac:dyDescent="0.25">
      <c r="B282" s="15"/>
      <c r="C282" s="1"/>
      <c r="D282" s="1"/>
      <c r="E282" s="1"/>
      <c r="F282" s="24">
        <f t="shared" si="6"/>
        <v>0</v>
      </c>
    </row>
    <row r="283" spans="2:6" x14ac:dyDescent="0.25">
      <c r="B283" s="15"/>
      <c r="C283" s="1"/>
      <c r="D283" s="1"/>
      <c r="E283" s="1"/>
      <c r="F283" s="24">
        <f t="shared" si="6"/>
        <v>0</v>
      </c>
    </row>
    <row r="284" spans="2:6" x14ac:dyDescent="0.25">
      <c r="B284" s="1"/>
      <c r="C284" s="1"/>
      <c r="D284" s="1"/>
      <c r="E284" s="1"/>
      <c r="F284" s="24">
        <f t="shared" si="6"/>
        <v>0</v>
      </c>
    </row>
    <row r="285" spans="2:6" x14ac:dyDescent="0.25">
      <c r="B285" s="1"/>
      <c r="C285" s="1"/>
      <c r="D285" s="1"/>
      <c r="E285" s="1"/>
      <c r="F285" s="24">
        <f t="shared" si="6"/>
        <v>0</v>
      </c>
    </row>
    <row r="286" spans="2:6" x14ac:dyDescent="0.25">
      <c r="B286" s="10" t="s">
        <v>20</v>
      </c>
      <c r="C286" s="1"/>
      <c r="D286" s="1"/>
      <c r="E286" s="4">
        <f>SUM(E274:E285)</f>
        <v>1145.5</v>
      </c>
      <c r="F286" s="22">
        <f>SUM(F274:F285)</f>
        <v>179.43295739348372</v>
      </c>
    </row>
    <row r="287" spans="2:6" x14ac:dyDescent="0.25">
      <c r="B287" s="4" t="s">
        <v>22</v>
      </c>
      <c r="C287" s="6"/>
      <c r="D287" s="6"/>
      <c r="E287" s="6"/>
      <c r="F287" s="23">
        <f>F272+F286</f>
        <v>195.92295739348373</v>
      </c>
    </row>
    <row r="288" spans="2:6" x14ac:dyDescent="0.25">
      <c r="B288" s="7"/>
      <c r="C288" s="7"/>
      <c r="D288" s="7"/>
      <c r="E288" s="7"/>
      <c r="F288" s="7"/>
    </row>
    <row r="289" spans="2:6" x14ac:dyDescent="0.25">
      <c r="B289" s="18"/>
      <c r="C289" s="18"/>
      <c r="D289" s="18"/>
      <c r="E289" s="18"/>
      <c r="F289" s="18"/>
    </row>
    <row r="290" spans="2:6" x14ac:dyDescent="0.25">
      <c r="B290" s="18"/>
      <c r="C290" s="18"/>
      <c r="D290" s="18"/>
      <c r="E290" s="18"/>
      <c r="F290" s="18"/>
    </row>
    <row r="291" spans="2:6" x14ac:dyDescent="0.25">
      <c r="B291" s="39" t="s">
        <v>23</v>
      </c>
      <c r="C291" s="38"/>
      <c r="D291" s="38"/>
      <c r="E291" s="39" t="s">
        <v>24</v>
      </c>
      <c r="F291" s="38"/>
    </row>
  </sheetData>
  <mergeCells count="35">
    <mergeCell ref="E80:F80"/>
    <mergeCell ref="B80:D80"/>
    <mergeCell ref="C44:D44"/>
    <mergeCell ref="B42:F42"/>
    <mergeCell ref="B41:F41"/>
    <mergeCell ref="B1:F1"/>
    <mergeCell ref="B2:F2"/>
    <mergeCell ref="C4:D4"/>
    <mergeCell ref="B40:D40"/>
    <mergeCell ref="E40:F40"/>
    <mergeCell ref="B169:F169"/>
    <mergeCell ref="B83:F83"/>
    <mergeCell ref="B84:F84"/>
    <mergeCell ref="C86:D86"/>
    <mergeCell ref="B122:D122"/>
    <mergeCell ref="E122:F122"/>
    <mergeCell ref="B125:F125"/>
    <mergeCell ref="B126:F126"/>
    <mergeCell ref="C128:D128"/>
    <mergeCell ref="B163:D163"/>
    <mergeCell ref="E163:F163"/>
    <mergeCell ref="B168:F168"/>
    <mergeCell ref="B291:D291"/>
    <mergeCell ref="E291:F291"/>
    <mergeCell ref="C171:D171"/>
    <mergeCell ref="B207:D207"/>
    <mergeCell ref="E207:F207"/>
    <mergeCell ref="B210:F210"/>
    <mergeCell ref="B211:F211"/>
    <mergeCell ref="C213:D213"/>
    <mergeCell ref="B249:D249"/>
    <mergeCell ref="E249:F249"/>
    <mergeCell ref="B252:F252"/>
    <mergeCell ref="B253:F253"/>
    <mergeCell ref="C255:D25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58"/>
  <sheetViews>
    <sheetView topLeftCell="A466" workbookViewId="0">
      <selection activeCell="F441" sqref="F441"/>
    </sheetView>
  </sheetViews>
  <sheetFormatPr defaultRowHeight="15" x14ac:dyDescent="0.25"/>
  <cols>
    <col min="2" max="2" width="34.85546875" customWidth="1"/>
    <col min="6" max="6" width="11.42578125" bestFit="1" customWidth="1"/>
  </cols>
  <sheetData>
    <row r="2" spans="2:6" ht="33.6" customHeight="1" x14ac:dyDescent="0.25">
      <c r="B2" s="37" t="s">
        <v>31</v>
      </c>
      <c r="C2" s="37"/>
      <c r="D2" s="37"/>
      <c r="E2" s="37"/>
      <c r="F2" s="37"/>
    </row>
    <row r="3" spans="2:6" ht="33" customHeight="1" x14ac:dyDescent="0.25">
      <c r="B3" s="37" t="s">
        <v>1</v>
      </c>
      <c r="C3" s="37"/>
      <c r="D3" s="37"/>
      <c r="E3" s="37"/>
      <c r="F3" s="37"/>
    </row>
    <row r="4" spans="2:6" x14ac:dyDescent="0.25">
      <c r="B4" s="14" t="s">
        <v>0</v>
      </c>
      <c r="C4" s="14"/>
      <c r="D4" s="14"/>
      <c r="E4" s="14"/>
      <c r="F4" s="14"/>
    </row>
    <row r="5" spans="2:6" x14ac:dyDescent="0.25">
      <c r="B5" s="12"/>
      <c r="C5" s="38" t="s">
        <v>25</v>
      </c>
      <c r="D5" s="38"/>
      <c r="E5" s="12">
        <v>1285.9000000000001</v>
      </c>
      <c r="F5" s="12" t="s">
        <v>26</v>
      </c>
    </row>
    <row r="7" spans="2:6" ht="60" x14ac:dyDescent="0.25">
      <c r="B7" s="1" t="s">
        <v>2</v>
      </c>
      <c r="C7" s="1" t="s">
        <v>4</v>
      </c>
      <c r="D7" s="1" t="s">
        <v>3</v>
      </c>
      <c r="E7" s="1" t="s">
        <v>443</v>
      </c>
      <c r="F7" s="1" t="s">
        <v>5</v>
      </c>
    </row>
    <row r="8" spans="2:6" x14ac:dyDescent="0.25">
      <c r="B8" s="1"/>
      <c r="C8" s="1"/>
      <c r="D8" s="1"/>
      <c r="E8" s="1"/>
      <c r="F8" s="1"/>
    </row>
    <row r="9" spans="2:6" x14ac:dyDescent="0.25">
      <c r="B9" s="3" t="s">
        <v>6</v>
      </c>
      <c r="C9" s="1"/>
      <c r="D9" s="1"/>
      <c r="E9" s="1"/>
      <c r="F9" s="1"/>
    </row>
    <row r="10" spans="2:6" x14ac:dyDescent="0.25">
      <c r="B10" s="5" t="s">
        <v>7</v>
      </c>
      <c r="C10" s="1"/>
      <c r="D10" s="1"/>
      <c r="E10" s="1"/>
      <c r="F10" s="5">
        <v>2.0099999999999998</v>
      </c>
    </row>
    <row r="11" spans="2:6" x14ac:dyDescent="0.25">
      <c r="B11" s="5" t="s">
        <v>8</v>
      </c>
      <c r="C11" s="1"/>
      <c r="D11" s="1"/>
      <c r="E11" s="1"/>
      <c r="F11" s="5">
        <v>5.34</v>
      </c>
    </row>
    <row r="12" spans="2:6" x14ac:dyDescent="0.25">
      <c r="B12" s="15" t="s">
        <v>30</v>
      </c>
      <c r="C12" s="1"/>
      <c r="D12" s="1"/>
      <c r="E12" s="1"/>
      <c r="F12" s="5">
        <v>0.06</v>
      </c>
    </row>
    <row r="13" spans="2:6" ht="24.75" x14ac:dyDescent="0.25">
      <c r="B13" s="5" t="s">
        <v>11</v>
      </c>
      <c r="C13" s="1"/>
      <c r="D13" s="1"/>
      <c r="E13" s="1"/>
      <c r="F13" s="5">
        <v>0.55000000000000004</v>
      </c>
    </row>
    <row r="14" spans="2:6" ht="24.75" x14ac:dyDescent="0.25">
      <c r="B14" s="5" t="s">
        <v>12</v>
      </c>
      <c r="C14" s="1"/>
      <c r="D14" s="1"/>
      <c r="E14" s="1"/>
      <c r="F14" s="5">
        <v>0.53</v>
      </c>
    </row>
    <row r="15" spans="2:6" ht="24.75" x14ac:dyDescent="0.25">
      <c r="B15" s="5" t="s">
        <v>13</v>
      </c>
      <c r="C15" s="1"/>
      <c r="D15" s="1"/>
      <c r="E15" s="1"/>
      <c r="F15" s="5">
        <v>0.19</v>
      </c>
    </row>
    <row r="16" spans="2:6" ht="24.75" x14ac:dyDescent="0.25">
      <c r="B16" s="5" t="s">
        <v>14</v>
      </c>
      <c r="C16" s="1"/>
      <c r="D16" s="1"/>
      <c r="E16" s="1"/>
      <c r="F16" s="5">
        <v>1.25</v>
      </c>
    </row>
    <row r="17" spans="2:6" ht="24.75" x14ac:dyDescent="0.25">
      <c r="B17" s="5" t="s">
        <v>9</v>
      </c>
      <c r="C17" s="1"/>
      <c r="D17" s="1"/>
      <c r="E17" s="1"/>
      <c r="F17" s="5">
        <v>0.26</v>
      </c>
    </row>
    <row r="18" spans="2:6" ht="24.75" x14ac:dyDescent="0.25">
      <c r="B18" s="5" t="s">
        <v>15</v>
      </c>
      <c r="C18" s="1"/>
      <c r="D18" s="1"/>
      <c r="E18" s="1"/>
      <c r="F18" s="5">
        <v>0.27</v>
      </c>
    </row>
    <row r="19" spans="2:6" ht="24.75" x14ac:dyDescent="0.25">
      <c r="B19" s="5" t="s">
        <v>16</v>
      </c>
      <c r="C19" s="1"/>
      <c r="D19" s="1"/>
      <c r="E19" s="1"/>
      <c r="F19" s="5">
        <v>0.28999999999999998</v>
      </c>
    </row>
    <row r="20" spans="2:6" ht="24.75" x14ac:dyDescent="0.25">
      <c r="B20" s="5" t="s">
        <v>17</v>
      </c>
      <c r="C20" s="1"/>
      <c r="D20" s="1"/>
      <c r="E20" s="1"/>
      <c r="F20" s="5">
        <v>0.32</v>
      </c>
    </row>
    <row r="21" spans="2:6" x14ac:dyDescent="0.25">
      <c r="B21" s="5" t="s">
        <v>18</v>
      </c>
      <c r="C21" s="1"/>
      <c r="D21" s="1"/>
      <c r="E21" s="1"/>
      <c r="F21" s="5">
        <v>1.97</v>
      </c>
    </row>
    <row r="22" spans="2:6" x14ac:dyDescent="0.25">
      <c r="B22" s="5" t="s">
        <v>19</v>
      </c>
      <c r="C22" s="1"/>
      <c r="D22" s="1"/>
      <c r="E22" s="1"/>
      <c r="F22" s="5">
        <v>3.95</v>
      </c>
    </row>
    <row r="23" spans="2:6" x14ac:dyDescent="0.25">
      <c r="B23" s="10" t="s">
        <v>20</v>
      </c>
      <c r="C23" s="1"/>
      <c r="D23" s="1"/>
      <c r="E23" s="1"/>
      <c r="F23" s="4">
        <f>SUM(F10:F22)</f>
        <v>16.989999999999998</v>
      </c>
    </row>
    <row r="24" spans="2:6" x14ac:dyDescent="0.25">
      <c r="B24" s="3" t="s">
        <v>21</v>
      </c>
      <c r="C24" s="1"/>
      <c r="D24" s="1"/>
      <c r="E24" s="1"/>
      <c r="F24" s="1"/>
    </row>
    <row r="25" spans="2:6" x14ac:dyDescent="0.25">
      <c r="B25" s="1" t="s">
        <v>275</v>
      </c>
      <c r="C25" s="1" t="s">
        <v>26</v>
      </c>
      <c r="D25" s="1">
        <v>70</v>
      </c>
      <c r="E25" s="1">
        <v>105</v>
      </c>
      <c r="F25" s="24">
        <f>E25/1285.9*1000/12</f>
        <v>6.8045726728361453</v>
      </c>
    </row>
    <row r="26" spans="2:6" x14ac:dyDescent="0.25">
      <c r="B26" s="1" t="s">
        <v>335</v>
      </c>
      <c r="C26" s="1" t="s">
        <v>26</v>
      </c>
      <c r="D26" s="1">
        <v>54</v>
      </c>
      <c r="E26" s="1">
        <v>32.4</v>
      </c>
      <c r="F26" s="24">
        <f t="shared" ref="F26:F36" si="0">E26/1285.9*1000/12</f>
        <v>2.0996967104751536</v>
      </c>
    </row>
    <row r="27" spans="2:6" x14ac:dyDescent="0.25">
      <c r="B27" s="1" t="s">
        <v>330</v>
      </c>
      <c r="C27" s="1" t="s">
        <v>261</v>
      </c>
      <c r="D27" s="1">
        <v>32</v>
      </c>
      <c r="E27" s="1">
        <v>41.6</v>
      </c>
      <c r="F27" s="24">
        <f t="shared" si="0"/>
        <v>2.6959068875236536</v>
      </c>
    </row>
    <row r="28" spans="2:6" x14ac:dyDescent="0.25">
      <c r="B28" s="1" t="s">
        <v>319</v>
      </c>
      <c r="C28" s="1" t="s">
        <v>261</v>
      </c>
      <c r="D28" s="1">
        <v>120</v>
      </c>
      <c r="E28" s="1">
        <v>156</v>
      </c>
      <c r="F28" s="24">
        <f t="shared" si="0"/>
        <v>10.109650828213701</v>
      </c>
    </row>
    <row r="29" spans="2:6" x14ac:dyDescent="0.25">
      <c r="B29" s="1" t="s">
        <v>320</v>
      </c>
      <c r="C29" s="1" t="s">
        <v>261</v>
      </c>
      <c r="D29" s="1">
        <v>20</v>
      </c>
      <c r="E29" s="1">
        <v>38</v>
      </c>
      <c r="F29" s="24">
        <f t="shared" si="0"/>
        <v>2.4626072530264143</v>
      </c>
    </row>
    <row r="30" spans="2:6" x14ac:dyDescent="0.25">
      <c r="B30" s="1" t="s">
        <v>325</v>
      </c>
      <c r="C30" s="1" t="s">
        <v>261</v>
      </c>
      <c r="D30" s="1">
        <v>20</v>
      </c>
      <c r="E30" s="1">
        <v>38</v>
      </c>
      <c r="F30" s="24">
        <f t="shared" si="0"/>
        <v>2.4626072530264143</v>
      </c>
    </row>
    <row r="31" spans="2:6" x14ac:dyDescent="0.25">
      <c r="B31" s="1"/>
      <c r="C31" s="1"/>
      <c r="D31" s="1"/>
      <c r="E31" s="1"/>
      <c r="F31" s="24"/>
    </row>
    <row r="32" spans="2:6" x14ac:dyDescent="0.25">
      <c r="B32" s="1" t="s">
        <v>321</v>
      </c>
      <c r="C32" s="1" t="s">
        <v>256</v>
      </c>
      <c r="D32" s="1">
        <v>2</v>
      </c>
      <c r="E32" s="1">
        <v>300</v>
      </c>
      <c r="F32" s="24">
        <f t="shared" si="0"/>
        <v>19.441636208103272</v>
      </c>
    </row>
    <row r="33" spans="2:6" x14ac:dyDescent="0.25">
      <c r="B33" s="1" t="s">
        <v>340</v>
      </c>
      <c r="C33" s="1" t="s">
        <v>265</v>
      </c>
      <c r="D33" s="1">
        <v>14</v>
      </c>
      <c r="E33" s="1">
        <v>28</v>
      </c>
      <c r="F33" s="24">
        <f t="shared" si="0"/>
        <v>1.8145527127563053</v>
      </c>
    </row>
    <row r="34" spans="2:6" x14ac:dyDescent="0.25">
      <c r="B34" s="1" t="s">
        <v>341</v>
      </c>
      <c r="C34" s="1" t="s">
        <v>26</v>
      </c>
      <c r="D34" s="1">
        <v>35</v>
      </c>
      <c r="E34" s="1">
        <v>52.5</v>
      </c>
      <c r="F34" s="24">
        <f t="shared" si="0"/>
        <v>3.4022863364180727</v>
      </c>
    </row>
    <row r="35" spans="2:6" x14ac:dyDescent="0.25">
      <c r="B35" s="1" t="s">
        <v>322</v>
      </c>
      <c r="C35" s="1" t="s">
        <v>261</v>
      </c>
      <c r="D35" s="1">
        <v>150</v>
      </c>
      <c r="E35" s="1">
        <v>180</v>
      </c>
      <c r="F35" s="24">
        <f t="shared" si="0"/>
        <v>11.664981724861965</v>
      </c>
    </row>
    <row r="36" spans="2:6" x14ac:dyDescent="0.25">
      <c r="B36" s="1" t="s">
        <v>323</v>
      </c>
      <c r="C36" s="1" t="s">
        <v>261</v>
      </c>
      <c r="D36" s="1">
        <v>600</v>
      </c>
      <c r="E36" s="1">
        <v>600</v>
      </c>
      <c r="F36" s="24">
        <f t="shared" si="0"/>
        <v>38.883272416206545</v>
      </c>
    </row>
    <row r="37" spans="2:6" x14ac:dyDescent="0.25">
      <c r="B37" s="10" t="s">
        <v>20</v>
      </c>
      <c r="C37" s="1"/>
      <c r="D37" s="1"/>
      <c r="E37" s="4">
        <f>SUM(E25:E36)</f>
        <v>1571.5</v>
      </c>
      <c r="F37" s="22">
        <f>SUM(F25:F36)</f>
        <v>101.84177100344763</v>
      </c>
    </row>
    <row r="38" spans="2:6" x14ac:dyDescent="0.25">
      <c r="B38" s="4" t="s">
        <v>22</v>
      </c>
      <c r="C38" s="6"/>
      <c r="D38" s="6"/>
      <c r="E38" s="6"/>
      <c r="F38" s="23">
        <f>F23+F37</f>
        <v>118.83177100344763</v>
      </c>
    </row>
    <row r="39" spans="2:6" x14ac:dyDescent="0.25">
      <c r="B39" s="7"/>
      <c r="C39" s="7"/>
      <c r="D39" s="7"/>
      <c r="E39" s="7"/>
      <c r="F39" s="7"/>
    </row>
    <row r="40" spans="2:6" x14ac:dyDescent="0.25">
      <c r="B40" s="13"/>
      <c r="C40" s="13"/>
      <c r="D40" s="13"/>
      <c r="E40" s="13"/>
      <c r="F40" s="13"/>
    </row>
    <row r="41" spans="2:6" x14ac:dyDescent="0.25">
      <c r="B41" s="13"/>
      <c r="C41" s="13"/>
      <c r="D41" s="13"/>
      <c r="E41" s="13"/>
      <c r="F41" s="13"/>
    </row>
    <row r="42" spans="2:6" x14ac:dyDescent="0.25">
      <c r="B42" s="39" t="s">
        <v>23</v>
      </c>
      <c r="C42" s="38"/>
      <c r="D42" s="13"/>
      <c r="E42" s="39" t="s">
        <v>24</v>
      </c>
      <c r="F42" s="38"/>
    </row>
    <row r="44" spans="2:6" ht="28.9" customHeight="1" x14ac:dyDescent="0.25">
      <c r="B44" s="37" t="s">
        <v>32</v>
      </c>
      <c r="C44" s="37"/>
      <c r="D44" s="37"/>
      <c r="E44" s="37"/>
      <c r="F44" s="37"/>
    </row>
    <row r="45" spans="2:6" ht="33" customHeight="1" x14ac:dyDescent="0.25">
      <c r="B45" s="37" t="s">
        <v>1</v>
      </c>
      <c r="C45" s="37"/>
      <c r="D45" s="37"/>
      <c r="E45" s="37"/>
      <c r="F45" s="37"/>
    </row>
    <row r="46" spans="2:6" x14ac:dyDescent="0.25">
      <c r="B46" s="14" t="s">
        <v>0</v>
      </c>
      <c r="C46" s="14"/>
      <c r="D46" s="14"/>
      <c r="E46" s="14"/>
      <c r="F46" s="14"/>
    </row>
    <row r="47" spans="2:6" x14ac:dyDescent="0.25">
      <c r="B47" s="12"/>
      <c r="C47" s="38" t="s">
        <v>25</v>
      </c>
      <c r="D47" s="38"/>
      <c r="E47" s="12">
        <v>284</v>
      </c>
      <c r="F47" s="12" t="s">
        <v>26</v>
      </c>
    </row>
    <row r="49" spans="2:6" ht="60" x14ac:dyDescent="0.25">
      <c r="B49" s="1" t="s">
        <v>2</v>
      </c>
      <c r="C49" s="1" t="s">
        <v>4</v>
      </c>
      <c r="D49" s="1" t="s">
        <v>3</v>
      </c>
      <c r="E49" s="1" t="s">
        <v>443</v>
      </c>
      <c r="F49" s="1" t="s">
        <v>5</v>
      </c>
    </row>
    <row r="50" spans="2:6" x14ac:dyDescent="0.25">
      <c r="B50" s="1"/>
      <c r="C50" s="1"/>
      <c r="D50" s="1"/>
      <c r="E50" s="1"/>
      <c r="F50" s="1"/>
    </row>
    <row r="51" spans="2:6" x14ac:dyDescent="0.25">
      <c r="B51" s="3" t="s">
        <v>6</v>
      </c>
      <c r="C51" s="1"/>
      <c r="D51" s="1"/>
      <c r="E51" s="1"/>
      <c r="F51" s="1"/>
    </row>
    <row r="52" spans="2:6" x14ac:dyDescent="0.25">
      <c r="B52" s="5" t="s">
        <v>7</v>
      </c>
      <c r="C52" s="1"/>
      <c r="D52" s="1"/>
      <c r="E52" s="1"/>
      <c r="F52" s="5">
        <v>2.0099999999999998</v>
      </c>
    </row>
    <row r="53" spans="2:6" x14ac:dyDescent="0.25">
      <c r="B53" s="5" t="s">
        <v>8</v>
      </c>
      <c r="C53" s="1"/>
      <c r="D53" s="1"/>
      <c r="E53" s="1"/>
      <c r="F53" s="5">
        <v>5.34</v>
      </c>
    </row>
    <row r="54" spans="2:6" ht="24.75" x14ac:dyDescent="0.25">
      <c r="B54" s="5" t="s">
        <v>11</v>
      </c>
      <c r="C54" s="1"/>
      <c r="D54" s="1"/>
      <c r="E54" s="1"/>
      <c r="F54" s="5">
        <v>0.55000000000000004</v>
      </c>
    </row>
    <row r="55" spans="2:6" ht="24.75" x14ac:dyDescent="0.25">
      <c r="B55" s="5" t="s">
        <v>12</v>
      </c>
      <c r="C55" s="1"/>
      <c r="D55" s="1"/>
      <c r="E55" s="1"/>
      <c r="F55" s="5">
        <v>0.53</v>
      </c>
    </row>
    <row r="56" spans="2:6" ht="24.75" x14ac:dyDescent="0.25">
      <c r="B56" s="5" t="s">
        <v>13</v>
      </c>
      <c r="C56" s="1"/>
      <c r="D56" s="1"/>
      <c r="E56" s="1"/>
      <c r="F56" s="5">
        <v>0.19</v>
      </c>
    </row>
    <row r="57" spans="2:6" ht="24.75" x14ac:dyDescent="0.25">
      <c r="B57" s="5" t="s">
        <v>9</v>
      </c>
      <c r="C57" s="1"/>
      <c r="D57" s="1"/>
      <c r="E57" s="1"/>
      <c r="F57" s="5">
        <v>0.26</v>
      </c>
    </row>
    <row r="58" spans="2:6" ht="24.75" x14ac:dyDescent="0.25">
      <c r="B58" s="5" t="s">
        <v>15</v>
      </c>
      <c r="C58" s="1"/>
      <c r="D58" s="1"/>
      <c r="E58" s="1"/>
      <c r="F58" s="5">
        <v>0.27</v>
      </c>
    </row>
    <row r="59" spans="2:6" ht="24.75" x14ac:dyDescent="0.25">
      <c r="B59" s="5" t="s">
        <v>16</v>
      </c>
      <c r="C59" s="1"/>
      <c r="D59" s="1"/>
      <c r="E59" s="1"/>
      <c r="F59" s="5">
        <v>0.28999999999999998</v>
      </c>
    </row>
    <row r="60" spans="2:6" ht="24.75" x14ac:dyDescent="0.25">
      <c r="B60" s="5" t="s">
        <v>17</v>
      </c>
      <c r="C60" s="1"/>
      <c r="D60" s="1"/>
      <c r="E60" s="1"/>
      <c r="F60" s="5">
        <v>0.32</v>
      </c>
    </row>
    <row r="61" spans="2:6" x14ac:dyDescent="0.25">
      <c r="B61" s="5" t="s">
        <v>18</v>
      </c>
      <c r="C61" s="1"/>
      <c r="D61" s="1"/>
      <c r="E61" s="1"/>
      <c r="F61" s="5">
        <v>1.97</v>
      </c>
    </row>
    <row r="62" spans="2:6" x14ac:dyDescent="0.25">
      <c r="B62" s="5" t="s">
        <v>19</v>
      </c>
      <c r="C62" s="1"/>
      <c r="D62" s="1"/>
      <c r="E62" s="1"/>
      <c r="F62" s="5">
        <v>3.95</v>
      </c>
    </row>
    <row r="63" spans="2:6" x14ac:dyDescent="0.25">
      <c r="B63" s="10" t="s">
        <v>20</v>
      </c>
      <c r="C63" s="1"/>
      <c r="D63" s="1"/>
      <c r="E63" s="1"/>
      <c r="F63" s="4">
        <f>SUM(F52:F62)</f>
        <v>15.68</v>
      </c>
    </row>
    <row r="64" spans="2:6" x14ac:dyDescent="0.25">
      <c r="B64" s="3" t="s">
        <v>21</v>
      </c>
      <c r="C64" s="1"/>
      <c r="D64" s="1"/>
      <c r="E64" s="1"/>
      <c r="F64" s="1"/>
    </row>
    <row r="65" spans="2:6" x14ac:dyDescent="0.25">
      <c r="B65" s="1" t="s">
        <v>317</v>
      </c>
      <c r="C65" s="1" t="s">
        <v>256</v>
      </c>
      <c r="D65" s="1">
        <v>1</v>
      </c>
      <c r="E65" s="1">
        <v>45</v>
      </c>
      <c r="F65" s="24">
        <f>E65/284*1000/12</f>
        <v>13.204225352112678</v>
      </c>
    </row>
    <row r="66" spans="2:6" x14ac:dyDescent="0.25">
      <c r="B66" s="1" t="s">
        <v>275</v>
      </c>
      <c r="C66" s="1" t="s">
        <v>26</v>
      </c>
      <c r="D66" s="1">
        <v>57</v>
      </c>
      <c r="E66" s="1">
        <v>85</v>
      </c>
      <c r="F66" s="24">
        <f t="shared" ref="F66:F76" si="1">E66/284*1000/12</f>
        <v>24.941314553990608</v>
      </c>
    </row>
    <row r="67" spans="2:6" x14ac:dyDescent="0.25">
      <c r="B67" s="1" t="s">
        <v>330</v>
      </c>
      <c r="C67" s="1" t="s">
        <v>261</v>
      </c>
      <c r="D67" s="1">
        <v>20</v>
      </c>
      <c r="E67" s="1">
        <v>26</v>
      </c>
      <c r="F67" s="24">
        <f t="shared" si="1"/>
        <v>7.629107981220657</v>
      </c>
    </row>
    <row r="68" spans="2:6" x14ac:dyDescent="0.25">
      <c r="B68" s="1" t="s">
        <v>319</v>
      </c>
      <c r="C68" s="1" t="s">
        <v>261</v>
      </c>
      <c r="D68" s="1">
        <v>14</v>
      </c>
      <c r="E68" s="1">
        <v>18.2</v>
      </c>
      <c r="F68" s="24">
        <f t="shared" si="1"/>
        <v>5.34037558685446</v>
      </c>
    </row>
    <row r="69" spans="2:6" x14ac:dyDescent="0.25">
      <c r="B69" s="1" t="s">
        <v>342</v>
      </c>
      <c r="C69" s="1" t="s">
        <v>265</v>
      </c>
      <c r="D69" s="1">
        <v>2</v>
      </c>
      <c r="E69" s="1">
        <v>5</v>
      </c>
      <c r="F69" s="24">
        <f t="shared" si="1"/>
        <v>1.467136150234742</v>
      </c>
    </row>
    <row r="70" spans="2:6" x14ac:dyDescent="0.25">
      <c r="B70" s="1" t="s">
        <v>320</v>
      </c>
      <c r="C70" s="1" t="s">
        <v>261</v>
      </c>
      <c r="D70" s="1">
        <v>14</v>
      </c>
      <c r="E70" s="1">
        <v>26.6</v>
      </c>
      <c r="F70" s="24">
        <f t="shared" si="1"/>
        <v>7.8051643192488269</v>
      </c>
    </row>
    <row r="71" spans="2:6" x14ac:dyDescent="0.25">
      <c r="B71" s="1" t="s">
        <v>325</v>
      </c>
      <c r="C71" s="1" t="s">
        <v>261</v>
      </c>
      <c r="D71" s="1">
        <v>15</v>
      </c>
      <c r="E71" s="1">
        <v>28.5</v>
      </c>
      <c r="F71" s="24">
        <f t="shared" si="1"/>
        <v>8.362676056338028</v>
      </c>
    </row>
    <row r="72" spans="2:6" x14ac:dyDescent="0.25">
      <c r="B72" s="1" t="s">
        <v>343</v>
      </c>
      <c r="C72" s="1" t="s">
        <v>256</v>
      </c>
      <c r="D72" s="1">
        <v>1</v>
      </c>
      <c r="E72" s="1">
        <v>50</v>
      </c>
      <c r="F72" s="24">
        <f t="shared" si="1"/>
        <v>14.671361502347416</v>
      </c>
    </row>
    <row r="73" spans="2:6" x14ac:dyDescent="0.25">
      <c r="B73" s="1" t="s">
        <v>322</v>
      </c>
      <c r="C73" s="1" t="s">
        <v>261</v>
      </c>
      <c r="D73" s="1">
        <v>130</v>
      </c>
      <c r="E73" s="1">
        <v>156</v>
      </c>
      <c r="F73" s="24">
        <f t="shared" si="1"/>
        <v>45.774647887323944</v>
      </c>
    </row>
    <row r="74" spans="2:6" x14ac:dyDescent="0.25">
      <c r="B74" s="1" t="s">
        <v>323</v>
      </c>
      <c r="C74" s="1" t="s">
        <v>261</v>
      </c>
      <c r="D74" s="1">
        <v>140</v>
      </c>
      <c r="E74" s="1">
        <v>140</v>
      </c>
      <c r="F74" s="24">
        <f t="shared" si="1"/>
        <v>41.079812206572775</v>
      </c>
    </row>
    <row r="75" spans="2:6" x14ac:dyDescent="0.25">
      <c r="B75" s="1" t="s">
        <v>344</v>
      </c>
      <c r="C75" s="1" t="s">
        <v>331</v>
      </c>
      <c r="D75" s="1">
        <v>110</v>
      </c>
      <c r="E75" s="1">
        <v>88</v>
      </c>
      <c r="F75" s="24">
        <f t="shared" si="1"/>
        <v>25.821596244131452</v>
      </c>
    </row>
    <row r="76" spans="2:6" x14ac:dyDescent="0.25">
      <c r="B76" s="1" t="s">
        <v>326</v>
      </c>
      <c r="C76" s="1" t="s">
        <v>26</v>
      </c>
      <c r="D76" s="1">
        <v>6</v>
      </c>
      <c r="E76" s="1">
        <v>9</v>
      </c>
      <c r="F76" s="24">
        <f t="shared" si="1"/>
        <v>2.640845070422535</v>
      </c>
    </row>
    <row r="77" spans="2:6" x14ac:dyDescent="0.25">
      <c r="B77" s="10" t="s">
        <v>20</v>
      </c>
      <c r="C77" s="1"/>
      <c r="D77" s="1"/>
      <c r="E77" s="4">
        <f>SUM(E65:E76)</f>
        <v>677.3</v>
      </c>
      <c r="F77" s="22">
        <f>SUM(F65:F76)</f>
        <v>198.73826291079811</v>
      </c>
    </row>
    <row r="78" spans="2:6" x14ac:dyDescent="0.25">
      <c r="B78" s="4" t="s">
        <v>22</v>
      </c>
      <c r="C78" s="6"/>
      <c r="D78" s="6"/>
      <c r="E78" s="6"/>
      <c r="F78" s="23">
        <f>F63+F77</f>
        <v>214.41826291079812</v>
      </c>
    </row>
    <row r="79" spans="2:6" x14ac:dyDescent="0.25">
      <c r="B79" s="7"/>
      <c r="C79" s="7"/>
      <c r="D79" s="7"/>
      <c r="E79" s="7"/>
      <c r="F79" s="7"/>
    </row>
    <row r="80" spans="2:6" x14ac:dyDescent="0.25">
      <c r="B80" s="13"/>
      <c r="C80" s="13"/>
      <c r="D80" s="13"/>
      <c r="E80" s="13"/>
      <c r="F80" s="13"/>
    </row>
    <row r="81" spans="2:6" x14ac:dyDescent="0.25">
      <c r="B81" s="13"/>
      <c r="C81" s="13"/>
      <c r="D81" s="13"/>
      <c r="E81" s="13"/>
      <c r="F81" s="13"/>
    </row>
    <row r="82" spans="2:6" x14ac:dyDescent="0.25">
      <c r="B82" s="39" t="s">
        <v>23</v>
      </c>
      <c r="C82" s="38"/>
      <c r="D82" s="13"/>
      <c r="E82" s="39" t="s">
        <v>24</v>
      </c>
      <c r="F82" s="38"/>
    </row>
    <row r="84" spans="2:6" ht="31.9" customHeight="1" x14ac:dyDescent="0.25">
      <c r="B84" s="37" t="s">
        <v>345</v>
      </c>
      <c r="C84" s="37"/>
      <c r="D84" s="37"/>
      <c r="E84" s="37"/>
      <c r="F84" s="37"/>
    </row>
    <row r="85" spans="2:6" ht="33" customHeight="1" x14ac:dyDescent="0.25">
      <c r="B85" s="37" t="s">
        <v>1</v>
      </c>
      <c r="C85" s="37"/>
      <c r="D85" s="37"/>
      <c r="E85" s="37"/>
      <c r="F85" s="37"/>
    </row>
    <row r="86" spans="2:6" x14ac:dyDescent="0.25">
      <c r="B86" s="14" t="s">
        <v>0</v>
      </c>
      <c r="C86" s="14"/>
      <c r="D86" s="14"/>
      <c r="E86" s="14"/>
      <c r="F86" s="14"/>
    </row>
    <row r="87" spans="2:6" x14ac:dyDescent="0.25">
      <c r="B87" s="12"/>
      <c r="C87" s="38" t="s">
        <v>25</v>
      </c>
      <c r="D87" s="38"/>
      <c r="E87" s="12">
        <v>444.3</v>
      </c>
      <c r="F87" s="12" t="s">
        <v>26</v>
      </c>
    </row>
    <row r="89" spans="2:6" ht="60" x14ac:dyDescent="0.25">
      <c r="B89" s="1" t="s">
        <v>2</v>
      </c>
      <c r="C89" s="1" t="s">
        <v>4</v>
      </c>
      <c r="D89" s="1" t="s">
        <v>3</v>
      </c>
      <c r="E89" s="1" t="s">
        <v>443</v>
      </c>
      <c r="F89" s="1" t="s">
        <v>5</v>
      </c>
    </row>
    <row r="90" spans="2:6" x14ac:dyDescent="0.25">
      <c r="B90" s="1"/>
      <c r="C90" s="1"/>
      <c r="D90" s="1"/>
      <c r="E90" s="1"/>
      <c r="F90" s="1"/>
    </row>
    <row r="91" spans="2:6" x14ac:dyDescent="0.25">
      <c r="B91" s="3" t="s">
        <v>6</v>
      </c>
      <c r="C91" s="1"/>
      <c r="D91" s="1"/>
      <c r="E91" s="1"/>
      <c r="F91" s="1"/>
    </row>
    <row r="92" spans="2:6" x14ac:dyDescent="0.25">
      <c r="B92" s="5" t="s">
        <v>7</v>
      </c>
      <c r="C92" s="1"/>
      <c r="D92" s="1"/>
      <c r="E92" s="1"/>
      <c r="F92" s="5">
        <v>2.0099999999999998</v>
      </c>
    </row>
    <row r="93" spans="2:6" x14ac:dyDescent="0.25">
      <c r="B93" s="5" t="s">
        <v>8</v>
      </c>
      <c r="C93" s="1"/>
      <c r="D93" s="1"/>
      <c r="E93" s="1"/>
      <c r="F93" s="5">
        <v>5.34</v>
      </c>
    </row>
    <row r="94" spans="2:6" ht="24.75" x14ac:dyDescent="0.25">
      <c r="B94" s="5" t="s">
        <v>11</v>
      </c>
      <c r="C94" s="1"/>
      <c r="D94" s="1"/>
      <c r="E94" s="1"/>
      <c r="F94" s="5">
        <v>0.55000000000000004</v>
      </c>
    </row>
    <row r="95" spans="2:6" ht="24.75" x14ac:dyDescent="0.25">
      <c r="B95" s="5" t="s">
        <v>12</v>
      </c>
      <c r="C95" s="1"/>
      <c r="D95" s="1"/>
      <c r="E95" s="1"/>
      <c r="F95" s="5">
        <v>0.53</v>
      </c>
    </row>
    <row r="96" spans="2:6" ht="24.75" x14ac:dyDescent="0.25">
      <c r="B96" s="5" t="s">
        <v>13</v>
      </c>
      <c r="C96" s="1"/>
      <c r="D96" s="1"/>
      <c r="E96" s="1"/>
      <c r="F96" s="5">
        <v>0.19</v>
      </c>
    </row>
    <row r="97" spans="2:6" ht="24.75" x14ac:dyDescent="0.25">
      <c r="B97" s="5" t="s">
        <v>9</v>
      </c>
      <c r="C97" s="1"/>
      <c r="D97" s="1"/>
      <c r="E97" s="1"/>
      <c r="F97" s="5">
        <v>0.26</v>
      </c>
    </row>
    <row r="98" spans="2:6" ht="24.75" x14ac:dyDescent="0.25">
      <c r="B98" s="5" t="s">
        <v>15</v>
      </c>
      <c r="C98" s="1"/>
      <c r="D98" s="1"/>
      <c r="E98" s="1"/>
      <c r="F98" s="5">
        <v>0.27</v>
      </c>
    </row>
    <row r="99" spans="2:6" ht="24.75" x14ac:dyDescent="0.25">
      <c r="B99" s="5" t="s">
        <v>16</v>
      </c>
      <c r="C99" s="1"/>
      <c r="D99" s="1"/>
      <c r="E99" s="1"/>
      <c r="F99" s="5">
        <v>0.28999999999999998</v>
      </c>
    </row>
    <row r="100" spans="2:6" ht="24.75" x14ac:dyDescent="0.25">
      <c r="B100" s="5" t="s">
        <v>17</v>
      </c>
      <c r="C100" s="1"/>
      <c r="D100" s="1"/>
      <c r="E100" s="1"/>
      <c r="F100" s="5">
        <v>0.32</v>
      </c>
    </row>
    <row r="101" spans="2:6" x14ac:dyDescent="0.25">
      <c r="B101" s="5" t="s">
        <v>18</v>
      </c>
      <c r="C101" s="1"/>
      <c r="D101" s="1"/>
      <c r="E101" s="1"/>
      <c r="F101" s="5">
        <v>1.97</v>
      </c>
    </row>
    <row r="102" spans="2:6" x14ac:dyDescent="0.25">
      <c r="B102" s="5" t="s">
        <v>19</v>
      </c>
      <c r="C102" s="1"/>
      <c r="D102" s="1"/>
      <c r="E102" s="1"/>
      <c r="F102" s="5">
        <v>3.95</v>
      </c>
    </row>
    <row r="103" spans="2:6" x14ac:dyDescent="0.25">
      <c r="B103" s="10" t="s">
        <v>20</v>
      </c>
      <c r="C103" s="1"/>
      <c r="D103" s="1"/>
      <c r="E103" s="1"/>
      <c r="F103" s="4">
        <f>SUM(F92:F102)</f>
        <v>15.68</v>
      </c>
    </row>
    <row r="104" spans="2:6" x14ac:dyDescent="0.25">
      <c r="B104" s="3" t="s">
        <v>21</v>
      </c>
      <c r="C104" s="1"/>
      <c r="D104" s="1"/>
      <c r="E104" s="1"/>
      <c r="F104" s="1"/>
    </row>
    <row r="105" spans="2:6" x14ac:dyDescent="0.25">
      <c r="B105" s="1" t="s">
        <v>317</v>
      </c>
      <c r="C105" s="1" t="s">
        <v>256</v>
      </c>
      <c r="D105" s="1">
        <v>2</v>
      </c>
      <c r="E105" s="1">
        <v>90</v>
      </c>
      <c r="F105" s="24">
        <f>E105/444.3*1000/12</f>
        <v>16.88048615800135</v>
      </c>
    </row>
    <row r="106" spans="2:6" x14ac:dyDescent="0.25">
      <c r="B106" s="1" t="s">
        <v>275</v>
      </c>
      <c r="C106" s="1" t="s">
        <v>26</v>
      </c>
      <c r="D106" s="1">
        <v>51</v>
      </c>
      <c r="E106" s="1">
        <v>76.5</v>
      </c>
      <c r="F106" s="24">
        <f t="shared" ref="F106:F110" si="2">E106/444.3*1000/12</f>
        <v>14.348413234301148</v>
      </c>
    </row>
    <row r="107" spans="2:6" x14ac:dyDescent="0.25">
      <c r="B107" s="1" t="s">
        <v>320</v>
      </c>
      <c r="C107" s="1" t="s">
        <v>261</v>
      </c>
      <c r="D107" s="1">
        <v>30</v>
      </c>
      <c r="E107" s="1">
        <v>10.68</v>
      </c>
      <c r="F107" s="24">
        <f t="shared" si="2"/>
        <v>2.0031510240828267</v>
      </c>
    </row>
    <row r="108" spans="2:6" x14ac:dyDescent="0.25">
      <c r="B108" s="1" t="s">
        <v>325</v>
      </c>
      <c r="C108" s="1" t="s">
        <v>261</v>
      </c>
      <c r="D108" s="1">
        <v>17</v>
      </c>
      <c r="E108" s="1">
        <v>6.06</v>
      </c>
      <c r="F108" s="24">
        <f t="shared" si="2"/>
        <v>1.136619401305424</v>
      </c>
    </row>
    <row r="109" spans="2:6" x14ac:dyDescent="0.25">
      <c r="B109" s="1" t="s">
        <v>322</v>
      </c>
      <c r="C109" s="1" t="s">
        <v>261</v>
      </c>
      <c r="D109" s="1">
        <v>120</v>
      </c>
      <c r="E109" s="1">
        <v>144</v>
      </c>
      <c r="F109" s="24">
        <f t="shared" si="2"/>
        <v>27.008777852802158</v>
      </c>
    </row>
    <row r="110" spans="2:6" x14ac:dyDescent="0.25">
      <c r="B110" s="1" t="s">
        <v>323</v>
      </c>
      <c r="C110" s="1" t="s">
        <v>261</v>
      </c>
      <c r="D110" s="1">
        <v>160</v>
      </c>
      <c r="E110" s="1">
        <v>160</v>
      </c>
      <c r="F110" s="24">
        <f t="shared" si="2"/>
        <v>30.009753169780179</v>
      </c>
    </row>
    <row r="111" spans="2:6" x14ac:dyDescent="0.25">
      <c r="B111" s="1"/>
      <c r="C111" s="1"/>
      <c r="D111" s="1"/>
      <c r="E111" s="1"/>
      <c r="F111" s="24"/>
    </row>
    <row r="112" spans="2:6" x14ac:dyDescent="0.25">
      <c r="B112" s="1"/>
      <c r="C112" s="1"/>
      <c r="D112" s="1"/>
      <c r="E112" s="1"/>
      <c r="F112" s="24"/>
    </row>
    <row r="113" spans="2:6" x14ac:dyDescent="0.25">
      <c r="B113" s="1"/>
      <c r="C113" s="1"/>
      <c r="D113" s="1"/>
      <c r="E113" s="1"/>
      <c r="F113" s="24"/>
    </row>
    <row r="114" spans="2:6" x14ac:dyDescent="0.25">
      <c r="B114" s="1"/>
      <c r="C114" s="1"/>
      <c r="D114" s="1"/>
      <c r="E114" s="1"/>
      <c r="F114" s="24"/>
    </row>
    <row r="115" spans="2:6" x14ac:dyDescent="0.25">
      <c r="B115" s="1"/>
      <c r="C115" s="1"/>
      <c r="D115" s="1"/>
      <c r="E115" s="1"/>
      <c r="F115" s="24"/>
    </row>
    <row r="116" spans="2:6" x14ac:dyDescent="0.25">
      <c r="B116" s="1"/>
      <c r="C116" s="1"/>
      <c r="D116" s="1"/>
      <c r="E116" s="1"/>
      <c r="F116" s="24"/>
    </row>
    <row r="117" spans="2:6" x14ac:dyDescent="0.25">
      <c r="B117" s="1"/>
      <c r="C117" s="1"/>
      <c r="D117" s="1"/>
      <c r="E117" s="1"/>
      <c r="F117" s="24"/>
    </row>
    <row r="118" spans="2:6" x14ac:dyDescent="0.25">
      <c r="B118" s="10" t="s">
        <v>20</v>
      </c>
      <c r="C118" s="1"/>
      <c r="D118" s="1"/>
      <c r="E118" s="4">
        <f>SUM(E105:E117)</f>
        <v>487.24</v>
      </c>
      <c r="F118" s="22">
        <f>SUM(F105:F117)</f>
        <v>91.387200840273096</v>
      </c>
    </row>
    <row r="119" spans="2:6" x14ac:dyDescent="0.25">
      <c r="B119" s="4" t="s">
        <v>22</v>
      </c>
      <c r="C119" s="6"/>
      <c r="D119" s="6"/>
      <c r="E119" s="6"/>
      <c r="F119" s="23">
        <f>F103+F118</f>
        <v>107.0672008402731</v>
      </c>
    </row>
    <row r="120" spans="2:6" x14ac:dyDescent="0.25">
      <c r="B120" s="7"/>
      <c r="C120" s="7"/>
      <c r="D120" s="7"/>
      <c r="E120" s="7"/>
      <c r="F120" s="7"/>
    </row>
    <row r="121" spans="2:6" x14ac:dyDescent="0.25">
      <c r="B121" s="13"/>
      <c r="C121" s="13"/>
      <c r="D121" s="13"/>
      <c r="E121" s="13"/>
      <c r="F121" s="13"/>
    </row>
    <row r="122" spans="2:6" x14ac:dyDescent="0.25">
      <c r="B122" s="13"/>
      <c r="C122" s="13"/>
      <c r="D122" s="13"/>
      <c r="E122" s="13"/>
      <c r="F122" s="13"/>
    </row>
    <row r="123" spans="2:6" x14ac:dyDescent="0.25">
      <c r="B123" s="39" t="s">
        <v>23</v>
      </c>
      <c r="C123" s="38"/>
      <c r="D123" s="13"/>
      <c r="E123" s="39" t="s">
        <v>24</v>
      </c>
      <c r="F123" s="38"/>
    </row>
    <row r="125" spans="2:6" ht="29.45" customHeight="1" x14ac:dyDescent="0.25">
      <c r="B125" s="37" t="s">
        <v>34</v>
      </c>
      <c r="C125" s="37"/>
      <c r="D125" s="37"/>
      <c r="E125" s="37"/>
      <c r="F125" s="37"/>
    </row>
    <row r="126" spans="2:6" ht="33.6" customHeight="1" x14ac:dyDescent="0.25">
      <c r="B126" s="37" t="s">
        <v>1</v>
      </c>
      <c r="C126" s="37"/>
      <c r="D126" s="37"/>
      <c r="E126" s="37"/>
      <c r="F126" s="37"/>
    </row>
    <row r="127" spans="2:6" x14ac:dyDescent="0.25">
      <c r="B127" s="14" t="s">
        <v>0</v>
      </c>
      <c r="C127" s="14"/>
      <c r="D127" s="14"/>
      <c r="E127" s="14"/>
      <c r="F127" s="14"/>
    </row>
    <row r="128" spans="2:6" x14ac:dyDescent="0.25">
      <c r="B128" s="12"/>
      <c r="C128" s="38" t="s">
        <v>25</v>
      </c>
      <c r="D128" s="38"/>
      <c r="E128" s="12">
        <v>277.60000000000002</v>
      </c>
      <c r="F128" s="12" t="s">
        <v>26</v>
      </c>
    </row>
    <row r="130" spans="2:6" ht="60" x14ac:dyDescent="0.25">
      <c r="B130" s="1" t="s">
        <v>2</v>
      </c>
      <c r="C130" s="1" t="s">
        <v>4</v>
      </c>
      <c r="D130" s="1" t="s">
        <v>3</v>
      </c>
      <c r="E130" s="1" t="s">
        <v>443</v>
      </c>
      <c r="F130" s="1" t="s">
        <v>5</v>
      </c>
    </row>
    <row r="131" spans="2:6" x14ac:dyDescent="0.25">
      <c r="B131" s="1"/>
      <c r="C131" s="1"/>
      <c r="D131" s="1"/>
      <c r="E131" s="1"/>
      <c r="F131" s="1"/>
    </row>
    <row r="132" spans="2:6" x14ac:dyDescent="0.25">
      <c r="B132" s="3" t="s">
        <v>6</v>
      </c>
      <c r="C132" s="1"/>
      <c r="D132" s="1"/>
      <c r="E132" s="1"/>
      <c r="F132" s="1"/>
    </row>
    <row r="133" spans="2:6" x14ac:dyDescent="0.25">
      <c r="B133" s="5" t="s">
        <v>7</v>
      </c>
      <c r="C133" s="1"/>
      <c r="D133" s="1"/>
      <c r="E133" s="1"/>
      <c r="F133" s="5">
        <v>2.0099999999999998</v>
      </c>
    </row>
    <row r="134" spans="2:6" x14ac:dyDescent="0.25">
      <c r="B134" s="5" t="s">
        <v>8</v>
      </c>
      <c r="C134" s="1"/>
      <c r="D134" s="1"/>
      <c r="E134" s="1"/>
      <c r="F134" s="5">
        <v>5.34</v>
      </c>
    </row>
    <row r="135" spans="2:6" ht="24.75" x14ac:dyDescent="0.25">
      <c r="B135" s="5" t="s">
        <v>11</v>
      </c>
      <c r="C135" s="1"/>
      <c r="D135" s="1"/>
      <c r="E135" s="1"/>
      <c r="F135" s="5">
        <v>0.55000000000000004</v>
      </c>
    </row>
    <row r="136" spans="2:6" ht="24.75" x14ac:dyDescent="0.25">
      <c r="B136" s="5" t="s">
        <v>12</v>
      </c>
      <c r="C136" s="1"/>
      <c r="D136" s="1"/>
      <c r="E136" s="1"/>
      <c r="F136" s="5">
        <v>0.53</v>
      </c>
    </row>
    <row r="137" spans="2:6" ht="24.75" x14ac:dyDescent="0.25">
      <c r="B137" s="5" t="s">
        <v>13</v>
      </c>
      <c r="C137" s="1"/>
      <c r="D137" s="1"/>
      <c r="E137" s="1"/>
      <c r="F137" s="5">
        <v>0.19</v>
      </c>
    </row>
    <row r="138" spans="2:6" ht="24.75" x14ac:dyDescent="0.25">
      <c r="B138" s="5" t="s">
        <v>9</v>
      </c>
      <c r="C138" s="1"/>
      <c r="D138" s="1"/>
      <c r="E138" s="1"/>
      <c r="F138" s="5">
        <v>0.26</v>
      </c>
    </row>
    <row r="139" spans="2:6" ht="24.75" x14ac:dyDescent="0.25">
      <c r="B139" s="5" t="s">
        <v>15</v>
      </c>
      <c r="C139" s="1"/>
      <c r="D139" s="1"/>
      <c r="E139" s="1"/>
      <c r="F139" s="5">
        <v>0.27</v>
      </c>
    </row>
    <row r="140" spans="2:6" ht="24.75" x14ac:dyDescent="0.25">
      <c r="B140" s="5" t="s">
        <v>16</v>
      </c>
      <c r="C140" s="1"/>
      <c r="D140" s="1"/>
      <c r="E140" s="1"/>
      <c r="F140" s="5">
        <v>0.28999999999999998</v>
      </c>
    </row>
    <row r="141" spans="2:6" ht="24.75" x14ac:dyDescent="0.25">
      <c r="B141" s="5" t="s">
        <v>17</v>
      </c>
      <c r="C141" s="1"/>
      <c r="D141" s="1"/>
      <c r="E141" s="1"/>
      <c r="F141" s="5">
        <v>0.32</v>
      </c>
    </row>
    <row r="142" spans="2:6" x14ac:dyDescent="0.25">
      <c r="B142" s="5" t="s">
        <v>18</v>
      </c>
      <c r="C142" s="1"/>
      <c r="D142" s="1"/>
      <c r="E142" s="1"/>
      <c r="F142" s="5">
        <v>1.97</v>
      </c>
    </row>
    <row r="143" spans="2:6" x14ac:dyDescent="0.25">
      <c r="B143" s="5" t="s">
        <v>19</v>
      </c>
      <c r="C143" s="1"/>
      <c r="D143" s="1"/>
      <c r="E143" s="1"/>
      <c r="F143" s="5">
        <v>3.95</v>
      </c>
    </row>
    <row r="144" spans="2:6" x14ac:dyDescent="0.25">
      <c r="B144" s="10" t="s">
        <v>20</v>
      </c>
      <c r="C144" s="1"/>
      <c r="D144" s="1"/>
      <c r="E144" s="1"/>
      <c r="F144" s="4">
        <f>SUM(F133:F143)</f>
        <v>15.68</v>
      </c>
    </row>
    <row r="145" spans="2:6" x14ac:dyDescent="0.25">
      <c r="B145" s="3" t="s">
        <v>21</v>
      </c>
      <c r="C145" s="1"/>
      <c r="D145" s="1"/>
      <c r="E145" s="1"/>
      <c r="F145" s="1"/>
    </row>
    <row r="146" spans="2:6" x14ac:dyDescent="0.25">
      <c r="B146" s="1" t="s">
        <v>317</v>
      </c>
      <c r="C146" s="1" t="s">
        <v>256</v>
      </c>
      <c r="D146" s="1">
        <v>1</v>
      </c>
      <c r="E146" s="1">
        <v>45</v>
      </c>
      <c r="F146" s="24">
        <f>E146/277.6*1000/12</f>
        <v>13.508645533141211</v>
      </c>
    </row>
    <row r="147" spans="2:6" x14ac:dyDescent="0.25">
      <c r="B147" s="1" t="s">
        <v>275</v>
      </c>
      <c r="C147" s="1" t="s">
        <v>26</v>
      </c>
      <c r="D147" s="1">
        <v>58</v>
      </c>
      <c r="E147" s="1">
        <v>87</v>
      </c>
      <c r="F147" s="24">
        <f t="shared" ref="F147:F157" si="3">E147/277.6*1000/12</f>
        <v>26.116714697406341</v>
      </c>
    </row>
    <row r="148" spans="2:6" x14ac:dyDescent="0.25">
      <c r="B148" s="1" t="s">
        <v>329</v>
      </c>
      <c r="C148" s="1" t="s">
        <v>26</v>
      </c>
      <c r="D148" s="1">
        <v>30</v>
      </c>
      <c r="E148" s="1">
        <v>36</v>
      </c>
      <c r="F148" s="24">
        <f t="shared" si="3"/>
        <v>10.806916426512968</v>
      </c>
    </row>
    <row r="149" spans="2:6" x14ac:dyDescent="0.25">
      <c r="B149" s="1" t="s">
        <v>330</v>
      </c>
      <c r="C149" s="1" t="s">
        <v>261</v>
      </c>
      <c r="D149" s="1">
        <v>22</v>
      </c>
      <c r="E149" s="1">
        <v>28.6</v>
      </c>
      <c r="F149" s="24">
        <f t="shared" si="3"/>
        <v>8.5854947166186353</v>
      </c>
    </row>
    <row r="150" spans="2:6" x14ac:dyDescent="0.25">
      <c r="B150" s="1" t="s">
        <v>319</v>
      </c>
      <c r="C150" s="1" t="s">
        <v>261</v>
      </c>
      <c r="D150" s="1">
        <v>9</v>
      </c>
      <c r="E150" s="1">
        <v>11.7</v>
      </c>
      <c r="F150" s="24">
        <f t="shared" si="3"/>
        <v>3.5122478386167142</v>
      </c>
    </row>
    <row r="151" spans="2:6" x14ac:dyDescent="0.25">
      <c r="B151" s="1" t="s">
        <v>320</v>
      </c>
      <c r="C151" s="1" t="s">
        <v>261</v>
      </c>
      <c r="D151" s="1">
        <v>15</v>
      </c>
      <c r="E151" s="1">
        <v>28.5</v>
      </c>
      <c r="F151" s="24">
        <f t="shared" si="3"/>
        <v>8.5554755043227662</v>
      </c>
    </row>
    <row r="152" spans="2:6" x14ac:dyDescent="0.25">
      <c r="B152" s="1" t="s">
        <v>325</v>
      </c>
      <c r="C152" s="1" t="s">
        <v>261</v>
      </c>
      <c r="D152" s="1">
        <v>15</v>
      </c>
      <c r="E152" s="1">
        <v>28.5</v>
      </c>
      <c r="F152" s="24">
        <f t="shared" si="3"/>
        <v>8.5554755043227662</v>
      </c>
    </row>
    <row r="153" spans="2:6" x14ac:dyDescent="0.25">
      <c r="B153" s="1" t="s">
        <v>321</v>
      </c>
      <c r="C153" s="1" t="s">
        <v>256</v>
      </c>
      <c r="D153" s="1">
        <v>1</v>
      </c>
      <c r="E153" s="1">
        <v>50</v>
      </c>
      <c r="F153" s="24">
        <f t="shared" si="3"/>
        <v>15.009606147934678</v>
      </c>
    </row>
    <row r="154" spans="2:6" x14ac:dyDescent="0.25">
      <c r="B154" s="1" t="s">
        <v>322</v>
      </c>
      <c r="C154" s="1" t="s">
        <v>261</v>
      </c>
      <c r="D154" s="1">
        <v>130</v>
      </c>
      <c r="E154" s="1">
        <v>156</v>
      </c>
      <c r="F154" s="24">
        <f t="shared" si="3"/>
        <v>46.829971181556196</v>
      </c>
    </row>
    <row r="155" spans="2:6" x14ac:dyDescent="0.25">
      <c r="B155" s="1" t="s">
        <v>323</v>
      </c>
      <c r="C155" s="1" t="s">
        <v>261</v>
      </c>
      <c r="D155" s="1">
        <v>140</v>
      </c>
      <c r="E155" s="1">
        <v>140</v>
      </c>
      <c r="F155" s="24">
        <f t="shared" si="3"/>
        <v>42.026897214217094</v>
      </c>
    </row>
    <row r="156" spans="2:6" x14ac:dyDescent="0.25">
      <c r="B156" s="1" t="s">
        <v>327</v>
      </c>
      <c r="C156" s="1" t="s">
        <v>331</v>
      </c>
      <c r="D156" s="1">
        <v>122</v>
      </c>
      <c r="E156" s="1">
        <v>97.6</v>
      </c>
      <c r="F156" s="24">
        <f t="shared" si="3"/>
        <v>29.298751200768489</v>
      </c>
    </row>
    <row r="157" spans="2:6" x14ac:dyDescent="0.25">
      <c r="B157" s="1" t="s">
        <v>326</v>
      </c>
      <c r="C157" s="1" t="s">
        <v>26</v>
      </c>
      <c r="D157" s="1">
        <v>12</v>
      </c>
      <c r="E157" s="1">
        <v>18</v>
      </c>
      <c r="F157" s="24">
        <f t="shared" si="3"/>
        <v>5.4034582132564841</v>
      </c>
    </row>
    <row r="158" spans="2:6" x14ac:dyDescent="0.25">
      <c r="B158" s="1"/>
      <c r="C158" s="1"/>
      <c r="D158" s="1"/>
      <c r="E158" s="1"/>
      <c r="F158" s="1">
        <f t="shared" ref="F158" si="4">E158/444.3</f>
        <v>0</v>
      </c>
    </row>
    <row r="159" spans="2:6" x14ac:dyDescent="0.25">
      <c r="B159" s="10" t="s">
        <v>20</v>
      </c>
      <c r="C159" s="1"/>
      <c r="D159" s="1"/>
      <c r="E159" s="4">
        <f>SUM(E146:E158)</f>
        <v>726.9</v>
      </c>
      <c r="F159" s="22">
        <f>SUM(F146:F158)</f>
        <v>218.20965417867433</v>
      </c>
    </row>
    <row r="160" spans="2:6" x14ac:dyDescent="0.25">
      <c r="B160" s="4" t="s">
        <v>22</v>
      </c>
      <c r="C160" s="6"/>
      <c r="D160" s="6"/>
      <c r="E160" s="6"/>
      <c r="F160" s="23">
        <f>F144+F159</f>
        <v>233.88965417867433</v>
      </c>
    </row>
    <row r="161" spans="2:6" x14ac:dyDescent="0.25">
      <c r="B161" s="7"/>
      <c r="C161" s="7"/>
      <c r="D161" s="7"/>
      <c r="E161" s="7"/>
      <c r="F161" s="7"/>
    </row>
    <row r="162" spans="2:6" x14ac:dyDescent="0.25">
      <c r="B162" s="13"/>
      <c r="C162" s="13"/>
      <c r="D162" s="13"/>
      <c r="E162" s="13"/>
      <c r="F162" s="13"/>
    </row>
    <row r="163" spans="2:6" x14ac:dyDescent="0.25">
      <c r="B163" s="13"/>
      <c r="C163" s="13"/>
      <c r="D163" s="13"/>
      <c r="E163" s="13"/>
      <c r="F163" s="13"/>
    </row>
    <row r="164" spans="2:6" x14ac:dyDescent="0.25">
      <c r="B164" s="39" t="s">
        <v>23</v>
      </c>
      <c r="C164" s="38"/>
      <c r="D164" s="13"/>
      <c r="E164" s="39" t="s">
        <v>24</v>
      </c>
      <c r="F164" s="38"/>
    </row>
    <row r="166" spans="2:6" ht="37.15" customHeight="1" x14ac:dyDescent="0.25">
      <c r="B166" s="37" t="s">
        <v>33</v>
      </c>
      <c r="C166" s="37"/>
      <c r="D166" s="37"/>
      <c r="E166" s="37"/>
      <c r="F166" s="37"/>
    </row>
    <row r="167" spans="2:6" ht="30.6" customHeight="1" x14ac:dyDescent="0.25">
      <c r="B167" s="37" t="s">
        <v>1</v>
      </c>
      <c r="C167" s="37"/>
      <c r="D167" s="37"/>
      <c r="E167" s="37"/>
      <c r="F167" s="37"/>
    </row>
    <row r="168" spans="2:6" x14ac:dyDescent="0.25">
      <c r="B168" s="14" t="s">
        <v>0</v>
      </c>
      <c r="C168" s="14"/>
      <c r="D168" s="14"/>
      <c r="E168" s="14"/>
      <c r="F168" s="14"/>
    </row>
    <row r="169" spans="2:6" x14ac:dyDescent="0.25">
      <c r="B169" s="12"/>
      <c r="C169" s="38" t="s">
        <v>25</v>
      </c>
      <c r="D169" s="38"/>
      <c r="E169" s="12">
        <v>279.39999999999998</v>
      </c>
      <c r="F169" s="12" t="s">
        <v>26</v>
      </c>
    </row>
    <row r="171" spans="2:6" ht="60" x14ac:dyDescent="0.25">
      <c r="B171" s="1" t="s">
        <v>2</v>
      </c>
      <c r="C171" s="1" t="s">
        <v>4</v>
      </c>
      <c r="D171" s="1" t="s">
        <v>3</v>
      </c>
      <c r="E171" s="1" t="s">
        <v>443</v>
      </c>
      <c r="F171" s="1" t="s">
        <v>5</v>
      </c>
    </row>
    <row r="172" spans="2:6" x14ac:dyDescent="0.25">
      <c r="B172" s="1"/>
      <c r="C172" s="1"/>
      <c r="D172" s="1"/>
      <c r="E172" s="1"/>
      <c r="F172" s="1"/>
    </row>
    <row r="173" spans="2:6" x14ac:dyDescent="0.25">
      <c r="B173" s="3" t="s">
        <v>6</v>
      </c>
      <c r="C173" s="1"/>
      <c r="D173" s="1"/>
      <c r="E173" s="1"/>
      <c r="F173" s="1"/>
    </row>
    <row r="174" spans="2:6" x14ac:dyDescent="0.25">
      <c r="B174" s="5" t="s">
        <v>7</v>
      </c>
      <c r="C174" s="1"/>
      <c r="D174" s="1"/>
      <c r="E174" s="1"/>
      <c r="F174" s="5">
        <v>2.0099999999999998</v>
      </c>
    </row>
    <row r="175" spans="2:6" x14ac:dyDescent="0.25">
      <c r="B175" s="5" t="s">
        <v>8</v>
      </c>
      <c r="C175" s="1"/>
      <c r="D175" s="1"/>
      <c r="E175" s="1"/>
      <c r="F175" s="5">
        <v>5.34</v>
      </c>
    </row>
    <row r="176" spans="2:6" ht="24.75" x14ac:dyDescent="0.25">
      <c r="B176" s="5" t="s">
        <v>11</v>
      </c>
      <c r="C176" s="1"/>
      <c r="D176" s="1"/>
      <c r="E176" s="1"/>
      <c r="F176" s="5">
        <v>0.55000000000000004</v>
      </c>
    </row>
    <row r="177" spans="2:6" ht="24.75" x14ac:dyDescent="0.25">
      <c r="B177" s="5" t="s">
        <v>12</v>
      </c>
      <c r="C177" s="1"/>
      <c r="D177" s="1"/>
      <c r="E177" s="1"/>
      <c r="F177" s="5">
        <v>0.53</v>
      </c>
    </row>
    <row r="178" spans="2:6" ht="24.75" x14ac:dyDescent="0.25">
      <c r="B178" s="5" t="s">
        <v>13</v>
      </c>
      <c r="C178" s="1"/>
      <c r="D178" s="1"/>
      <c r="E178" s="1"/>
      <c r="F178" s="5">
        <v>0.19</v>
      </c>
    </row>
    <row r="179" spans="2:6" ht="24.75" x14ac:dyDescent="0.25">
      <c r="B179" s="5" t="s">
        <v>9</v>
      </c>
      <c r="C179" s="1"/>
      <c r="D179" s="1"/>
      <c r="E179" s="1"/>
      <c r="F179" s="5">
        <v>0.26</v>
      </c>
    </row>
    <row r="180" spans="2:6" ht="24.75" x14ac:dyDescent="0.25">
      <c r="B180" s="5" t="s">
        <v>15</v>
      </c>
      <c r="C180" s="1"/>
      <c r="D180" s="1"/>
      <c r="E180" s="1"/>
      <c r="F180" s="5">
        <v>0.27</v>
      </c>
    </row>
    <row r="181" spans="2:6" ht="24.75" x14ac:dyDescent="0.25">
      <c r="B181" s="5" t="s">
        <v>16</v>
      </c>
      <c r="C181" s="1"/>
      <c r="D181" s="1"/>
      <c r="E181" s="1"/>
      <c r="F181" s="5">
        <v>0.28999999999999998</v>
      </c>
    </row>
    <row r="182" spans="2:6" ht="24.75" x14ac:dyDescent="0.25">
      <c r="B182" s="5" t="s">
        <v>17</v>
      </c>
      <c r="C182" s="1"/>
      <c r="D182" s="1"/>
      <c r="E182" s="1"/>
      <c r="F182" s="5">
        <v>0.32</v>
      </c>
    </row>
    <row r="183" spans="2:6" x14ac:dyDescent="0.25">
      <c r="B183" s="5" t="s">
        <v>18</v>
      </c>
      <c r="C183" s="1"/>
      <c r="D183" s="1"/>
      <c r="E183" s="1"/>
      <c r="F183" s="5">
        <v>1.97</v>
      </c>
    </row>
    <row r="184" spans="2:6" x14ac:dyDescent="0.25">
      <c r="B184" s="5" t="s">
        <v>19</v>
      </c>
      <c r="C184" s="1"/>
      <c r="D184" s="1"/>
      <c r="E184" s="1"/>
      <c r="F184" s="5">
        <v>3.95</v>
      </c>
    </row>
    <row r="185" spans="2:6" x14ac:dyDescent="0.25">
      <c r="B185" s="10" t="s">
        <v>20</v>
      </c>
      <c r="C185" s="1"/>
      <c r="D185" s="1"/>
      <c r="E185" s="1"/>
      <c r="F185" s="4">
        <f>SUM(F174:F184)</f>
        <v>15.68</v>
      </c>
    </row>
    <row r="186" spans="2:6" x14ac:dyDescent="0.25">
      <c r="B186" s="3" t="s">
        <v>21</v>
      </c>
      <c r="C186" s="1"/>
      <c r="D186" s="1"/>
      <c r="E186" s="1"/>
      <c r="F186" s="1"/>
    </row>
    <row r="187" spans="2:6" x14ac:dyDescent="0.25">
      <c r="B187" s="1" t="s">
        <v>317</v>
      </c>
      <c r="C187" s="1" t="s">
        <v>256</v>
      </c>
      <c r="D187" s="1">
        <v>1</v>
      </c>
      <c r="E187" s="1">
        <v>45</v>
      </c>
      <c r="F187" s="24">
        <f>E187/279.4*1000/12</f>
        <v>13.421617752326414</v>
      </c>
    </row>
    <row r="188" spans="2:6" x14ac:dyDescent="0.25">
      <c r="B188" s="1" t="s">
        <v>334</v>
      </c>
      <c r="C188" s="1" t="s">
        <v>265</v>
      </c>
      <c r="D188" s="1">
        <v>1</v>
      </c>
      <c r="E188" s="1">
        <v>10</v>
      </c>
      <c r="F188" s="24">
        <f t="shared" ref="F188:F200" si="5">E188/279.4*1000/12</f>
        <v>2.9825817227392033</v>
      </c>
    </row>
    <row r="189" spans="2:6" x14ac:dyDescent="0.25">
      <c r="B189" s="1" t="s">
        <v>275</v>
      </c>
      <c r="C189" s="1" t="s">
        <v>26</v>
      </c>
      <c r="D189" s="1">
        <v>58</v>
      </c>
      <c r="E189" s="1">
        <v>87</v>
      </c>
      <c r="F189" s="24">
        <f t="shared" si="5"/>
        <v>25.948460987831069</v>
      </c>
    </row>
    <row r="190" spans="2:6" x14ac:dyDescent="0.25">
      <c r="B190" s="1" t="s">
        <v>329</v>
      </c>
      <c r="C190" s="1" t="s">
        <v>26</v>
      </c>
      <c r="D190" s="1">
        <v>20</v>
      </c>
      <c r="E190" s="1">
        <v>24</v>
      </c>
      <c r="F190" s="24">
        <f t="shared" si="5"/>
        <v>7.1581961345740872</v>
      </c>
    </row>
    <row r="191" spans="2:6" x14ac:dyDescent="0.25">
      <c r="B191" s="1" t="s">
        <v>330</v>
      </c>
      <c r="C191" s="1" t="s">
        <v>261</v>
      </c>
      <c r="D191" s="1">
        <v>22</v>
      </c>
      <c r="E191" s="1">
        <v>28.6</v>
      </c>
      <c r="F191" s="24">
        <f t="shared" si="5"/>
        <v>8.5301837270341228</v>
      </c>
    </row>
    <row r="192" spans="2:6" x14ac:dyDescent="0.25">
      <c r="B192" s="1" t="s">
        <v>319</v>
      </c>
      <c r="C192" s="1" t="s">
        <v>261</v>
      </c>
      <c r="D192" s="1">
        <v>12</v>
      </c>
      <c r="E192" s="1">
        <v>15.6</v>
      </c>
      <c r="F192" s="24">
        <f t="shared" si="5"/>
        <v>4.6528274874731563</v>
      </c>
    </row>
    <row r="193" spans="2:6" x14ac:dyDescent="0.25">
      <c r="B193" s="1" t="s">
        <v>342</v>
      </c>
      <c r="C193" s="1" t="s">
        <v>26</v>
      </c>
      <c r="D193" s="1">
        <v>2</v>
      </c>
      <c r="E193" s="1">
        <v>5</v>
      </c>
      <c r="F193" s="24">
        <f t="shared" si="5"/>
        <v>1.4912908613696017</v>
      </c>
    </row>
    <row r="194" spans="2:6" x14ac:dyDescent="0.25">
      <c r="B194" s="1" t="s">
        <v>320</v>
      </c>
      <c r="C194" s="1" t="s">
        <v>261</v>
      </c>
      <c r="D194" s="1">
        <v>15</v>
      </c>
      <c r="E194" s="1">
        <v>28.5</v>
      </c>
      <c r="F194" s="24">
        <f t="shared" si="5"/>
        <v>8.5003579098067288</v>
      </c>
    </row>
    <row r="195" spans="2:6" x14ac:dyDescent="0.25">
      <c r="B195" s="1" t="s">
        <v>325</v>
      </c>
      <c r="C195" s="1" t="s">
        <v>261</v>
      </c>
      <c r="D195" s="1">
        <v>15</v>
      </c>
      <c r="E195" s="1">
        <v>28.5</v>
      </c>
      <c r="F195" s="24">
        <f t="shared" si="5"/>
        <v>8.5003579098067288</v>
      </c>
    </row>
    <row r="196" spans="2:6" x14ac:dyDescent="0.25">
      <c r="B196" s="1" t="s">
        <v>346</v>
      </c>
      <c r="C196" s="1" t="s">
        <v>256</v>
      </c>
      <c r="D196" s="1">
        <v>1</v>
      </c>
      <c r="E196" s="1">
        <v>50</v>
      </c>
      <c r="F196" s="24">
        <f t="shared" si="5"/>
        <v>14.912908613696017</v>
      </c>
    </row>
    <row r="197" spans="2:6" x14ac:dyDescent="0.25">
      <c r="B197" s="1" t="s">
        <v>322</v>
      </c>
      <c r="C197" s="1" t="s">
        <v>261</v>
      </c>
      <c r="D197" s="1">
        <v>130</v>
      </c>
      <c r="E197" s="1">
        <v>156</v>
      </c>
      <c r="F197" s="24">
        <f t="shared" si="5"/>
        <v>46.528274874731572</v>
      </c>
    </row>
    <row r="198" spans="2:6" x14ac:dyDescent="0.25">
      <c r="B198" s="1" t="s">
        <v>323</v>
      </c>
      <c r="C198" s="1" t="s">
        <v>261</v>
      </c>
      <c r="D198" s="1">
        <v>140</v>
      </c>
      <c r="E198" s="1">
        <v>140</v>
      </c>
      <c r="F198" s="24">
        <f t="shared" si="5"/>
        <v>41.756144118348843</v>
      </c>
    </row>
    <row r="199" spans="2:6" x14ac:dyDescent="0.25">
      <c r="B199" s="1" t="s">
        <v>326</v>
      </c>
      <c r="C199" s="1" t="s">
        <v>26</v>
      </c>
      <c r="D199" s="1">
        <v>8</v>
      </c>
      <c r="E199" s="1">
        <v>12</v>
      </c>
      <c r="F199" s="24">
        <f t="shared" si="5"/>
        <v>3.5790980672870436</v>
      </c>
    </row>
    <row r="200" spans="2:6" x14ac:dyDescent="0.25">
      <c r="B200" s="35" t="s">
        <v>327</v>
      </c>
      <c r="C200" s="35" t="s">
        <v>331</v>
      </c>
      <c r="D200" s="35">
        <v>100</v>
      </c>
      <c r="E200" s="36">
        <v>96</v>
      </c>
      <c r="F200" s="24">
        <f t="shared" si="5"/>
        <v>28.632784538296349</v>
      </c>
    </row>
    <row r="201" spans="2:6" x14ac:dyDescent="0.25">
      <c r="B201" s="10" t="s">
        <v>20</v>
      </c>
      <c r="C201" s="1"/>
      <c r="D201" s="1"/>
      <c r="E201" s="4">
        <f>SUM(E187:E200)</f>
        <v>726.2</v>
      </c>
      <c r="F201" s="22">
        <f>SUM(F187:F200)</f>
        <v>216.59508470532097</v>
      </c>
    </row>
    <row r="202" spans="2:6" x14ac:dyDescent="0.25">
      <c r="B202" s="4" t="s">
        <v>22</v>
      </c>
      <c r="C202" s="6"/>
      <c r="D202" s="6"/>
      <c r="E202" s="6"/>
      <c r="F202" s="23">
        <f>F185+F201</f>
        <v>232.27508470532098</v>
      </c>
    </row>
    <row r="203" spans="2:6" x14ac:dyDescent="0.25">
      <c r="B203" s="7"/>
      <c r="C203" s="7"/>
      <c r="D203" s="7"/>
      <c r="E203" s="7"/>
      <c r="F203" s="7"/>
    </row>
    <row r="204" spans="2:6" x14ac:dyDescent="0.25">
      <c r="B204" s="13"/>
      <c r="C204" s="13"/>
      <c r="D204" s="13"/>
      <c r="E204" s="13"/>
      <c r="F204" s="13"/>
    </row>
    <row r="205" spans="2:6" x14ac:dyDescent="0.25">
      <c r="B205" s="13"/>
      <c r="C205" s="13"/>
      <c r="D205" s="13"/>
      <c r="E205" s="13"/>
      <c r="F205" s="13"/>
    </row>
    <row r="206" spans="2:6" x14ac:dyDescent="0.25">
      <c r="B206" s="39" t="s">
        <v>23</v>
      </c>
      <c r="C206" s="38"/>
      <c r="D206" s="13"/>
      <c r="E206" s="39" t="s">
        <v>24</v>
      </c>
      <c r="F206" s="38"/>
    </row>
    <row r="208" spans="2:6" ht="34.15" customHeight="1" x14ac:dyDescent="0.25">
      <c r="B208" s="37" t="s">
        <v>37</v>
      </c>
      <c r="C208" s="37"/>
      <c r="D208" s="37"/>
      <c r="E208" s="37"/>
      <c r="F208" s="37"/>
    </row>
    <row r="209" spans="2:6" ht="32.450000000000003" customHeight="1" x14ac:dyDescent="0.25">
      <c r="B209" s="37" t="s">
        <v>1</v>
      </c>
      <c r="C209" s="37"/>
      <c r="D209" s="37"/>
      <c r="E209" s="37"/>
      <c r="F209" s="37"/>
    </row>
    <row r="210" spans="2:6" x14ac:dyDescent="0.25">
      <c r="B210" s="14" t="s">
        <v>0</v>
      </c>
      <c r="C210" s="14"/>
      <c r="D210" s="14"/>
      <c r="E210" s="14"/>
      <c r="F210" s="14"/>
    </row>
    <row r="211" spans="2:6" x14ac:dyDescent="0.25">
      <c r="B211" s="12"/>
      <c r="C211" s="38" t="s">
        <v>25</v>
      </c>
      <c r="D211" s="38"/>
      <c r="E211" s="12">
        <v>590.6</v>
      </c>
      <c r="F211" s="12" t="s">
        <v>26</v>
      </c>
    </row>
    <row r="213" spans="2:6" ht="60" x14ac:dyDescent="0.25">
      <c r="B213" s="1" t="s">
        <v>2</v>
      </c>
      <c r="C213" s="1" t="s">
        <v>4</v>
      </c>
      <c r="D213" s="1" t="s">
        <v>3</v>
      </c>
      <c r="E213" s="1" t="s">
        <v>443</v>
      </c>
      <c r="F213" s="1" t="s">
        <v>5</v>
      </c>
    </row>
    <row r="214" spans="2:6" x14ac:dyDescent="0.25">
      <c r="B214" s="1"/>
      <c r="C214" s="1"/>
      <c r="D214" s="1"/>
      <c r="E214" s="1"/>
      <c r="F214" s="1"/>
    </row>
    <row r="215" spans="2:6" x14ac:dyDescent="0.25">
      <c r="B215" s="3" t="s">
        <v>6</v>
      </c>
      <c r="C215" s="1"/>
      <c r="D215" s="1"/>
      <c r="E215" s="1"/>
      <c r="F215" s="1"/>
    </row>
    <row r="216" spans="2:6" x14ac:dyDescent="0.25">
      <c r="B216" s="5" t="s">
        <v>7</v>
      </c>
      <c r="C216" s="1"/>
      <c r="D216" s="1"/>
      <c r="E216" s="1"/>
      <c r="F216" s="5">
        <v>2.0099999999999998</v>
      </c>
    </row>
    <row r="217" spans="2:6" x14ac:dyDescent="0.25">
      <c r="B217" s="5" t="s">
        <v>8</v>
      </c>
      <c r="C217" s="1"/>
      <c r="D217" s="1"/>
      <c r="E217" s="1"/>
      <c r="F217" s="5">
        <v>5.34</v>
      </c>
    </row>
    <row r="218" spans="2:6" ht="24.75" x14ac:dyDescent="0.25">
      <c r="B218" s="5" t="s">
        <v>11</v>
      </c>
      <c r="C218" s="1"/>
      <c r="D218" s="1"/>
      <c r="E218" s="1"/>
      <c r="F218" s="5">
        <v>0.55000000000000004</v>
      </c>
    </row>
    <row r="219" spans="2:6" ht="24.75" x14ac:dyDescent="0.25">
      <c r="B219" s="5" t="s">
        <v>12</v>
      </c>
      <c r="C219" s="1"/>
      <c r="D219" s="1"/>
      <c r="E219" s="1"/>
      <c r="F219" s="5">
        <v>0.53</v>
      </c>
    </row>
    <row r="220" spans="2:6" ht="24.75" x14ac:dyDescent="0.25">
      <c r="B220" s="5" t="s">
        <v>13</v>
      </c>
      <c r="C220" s="1"/>
      <c r="D220" s="1"/>
      <c r="E220" s="1"/>
      <c r="F220" s="5">
        <v>0.19</v>
      </c>
    </row>
    <row r="221" spans="2:6" ht="24.75" x14ac:dyDescent="0.25">
      <c r="B221" s="5" t="s">
        <v>9</v>
      </c>
      <c r="C221" s="1"/>
      <c r="D221" s="1"/>
      <c r="E221" s="1"/>
      <c r="F221" s="5">
        <v>0.26</v>
      </c>
    </row>
    <row r="222" spans="2:6" ht="24.75" x14ac:dyDescent="0.25">
      <c r="B222" s="5" t="s">
        <v>15</v>
      </c>
      <c r="C222" s="1"/>
      <c r="D222" s="1"/>
      <c r="E222" s="1"/>
      <c r="F222" s="5">
        <v>0.27</v>
      </c>
    </row>
    <row r="223" spans="2:6" ht="24.75" x14ac:dyDescent="0.25">
      <c r="B223" s="5" t="s">
        <v>16</v>
      </c>
      <c r="C223" s="1"/>
      <c r="D223" s="1"/>
      <c r="E223" s="1"/>
      <c r="F223" s="5">
        <v>0.28999999999999998</v>
      </c>
    </row>
    <row r="224" spans="2:6" ht="24.75" x14ac:dyDescent="0.25">
      <c r="B224" s="5" t="s">
        <v>17</v>
      </c>
      <c r="C224" s="1"/>
      <c r="D224" s="1"/>
      <c r="E224" s="1"/>
      <c r="F224" s="5">
        <v>0.32</v>
      </c>
    </row>
    <row r="225" spans="2:6" x14ac:dyDescent="0.25">
      <c r="B225" s="5" t="s">
        <v>18</v>
      </c>
      <c r="C225" s="1"/>
      <c r="D225" s="1"/>
      <c r="E225" s="1"/>
      <c r="F225" s="5">
        <v>1.97</v>
      </c>
    </row>
    <row r="226" spans="2:6" x14ac:dyDescent="0.25">
      <c r="B226" s="5" t="s">
        <v>19</v>
      </c>
      <c r="C226" s="1"/>
      <c r="D226" s="1"/>
      <c r="E226" s="1"/>
      <c r="F226" s="5">
        <v>3.95</v>
      </c>
    </row>
    <row r="227" spans="2:6" x14ac:dyDescent="0.25">
      <c r="B227" s="10" t="s">
        <v>20</v>
      </c>
      <c r="C227" s="1"/>
      <c r="D227" s="1"/>
      <c r="E227" s="1"/>
      <c r="F227" s="4">
        <f>SUM(F216:F226)</f>
        <v>15.68</v>
      </c>
    </row>
    <row r="228" spans="2:6" x14ac:dyDescent="0.25">
      <c r="B228" s="3" t="s">
        <v>21</v>
      </c>
      <c r="C228" s="1"/>
      <c r="D228" s="1"/>
      <c r="E228" s="1"/>
      <c r="F228" s="1"/>
    </row>
    <row r="229" spans="2:6" x14ac:dyDescent="0.25">
      <c r="B229" s="1" t="s">
        <v>327</v>
      </c>
      <c r="C229" s="1" t="s">
        <v>331</v>
      </c>
      <c r="D229" s="1">
        <v>90</v>
      </c>
      <c r="E229" s="1">
        <v>90</v>
      </c>
      <c r="F229" s="24">
        <f>E229/590.6*1000/12</f>
        <v>12.698950220115137</v>
      </c>
    </row>
    <row r="230" spans="2:6" x14ac:dyDescent="0.25">
      <c r="B230" s="1" t="s">
        <v>275</v>
      </c>
      <c r="C230" s="1" t="s">
        <v>26</v>
      </c>
      <c r="D230" s="1">
        <v>120</v>
      </c>
      <c r="E230" s="1">
        <v>180</v>
      </c>
      <c r="F230" s="24">
        <f t="shared" ref="F230:F241" si="6">E230/590.6*1000/12</f>
        <v>25.397900440230273</v>
      </c>
    </row>
    <row r="231" spans="2:6" x14ac:dyDescent="0.25">
      <c r="B231" s="1" t="s">
        <v>318</v>
      </c>
      <c r="C231" s="1" t="s">
        <v>26</v>
      </c>
      <c r="D231" s="1">
        <v>700</v>
      </c>
      <c r="E231" s="1">
        <v>560</v>
      </c>
      <c r="F231" s="24">
        <f t="shared" si="6"/>
        <v>79.015690258494175</v>
      </c>
    </row>
    <row r="232" spans="2:6" x14ac:dyDescent="0.25">
      <c r="B232" s="1" t="s">
        <v>319</v>
      </c>
      <c r="C232" s="1" t="s">
        <v>261</v>
      </c>
      <c r="D232" s="1">
        <v>36</v>
      </c>
      <c r="E232" s="1">
        <v>46.8</v>
      </c>
      <c r="F232" s="24">
        <f t="shared" si="6"/>
        <v>6.6034541144598711</v>
      </c>
    </row>
    <row r="233" spans="2:6" x14ac:dyDescent="0.25">
      <c r="B233" s="1" t="s">
        <v>320</v>
      </c>
      <c r="C233" s="1" t="s">
        <v>261</v>
      </c>
      <c r="D233" s="1">
        <v>40</v>
      </c>
      <c r="E233" s="1">
        <v>76</v>
      </c>
      <c r="F233" s="24">
        <f t="shared" si="6"/>
        <v>10.723557963652782</v>
      </c>
    </row>
    <row r="234" spans="2:6" x14ac:dyDescent="0.25">
      <c r="B234" s="1" t="s">
        <v>325</v>
      </c>
      <c r="C234" s="1" t="s">
        <v>261</v>
      </c>
      <c r="D234" s="1">
        <v>40</v>
      </c>
      <c r="E234" s="1">
        <v>76</v>
      </c>
      <c r="F234" s="24">
        <f t="shared" si="6"/>
        <v>10.723557963652782</v>
      </c>
    </row>
    <row r="235" spans="2:6" x14ac:dyDescent="0.25">
      <c r="B235" s="1" t="s">
        <v>321</v>
      </c>
      <c r="C235" s="1" t="s">
        <v>331</v>
      </c>
      <c r="D235" s="1">
        <v>3</v>
      </c>
      <c r="E235" s="1">
        <v>150</v>
      </c>
      <c r="F235" s="24">
        <f t="shared" si="6"/>
        <v>21.164917033525231</v>
      </c>
    </row>
    <row r="236" spans="2:6" x14ac:dyDescent="0.25">
      <c r="B236" s="1" t="s">
        <v>322</v>
      </c>
      <c r="C236" s="1" t="s">
        <v>261</v>
      </c>
      <c r="D236" s="1">
        <v>160</v>
      </c>
      <c r="E236" s="1">
        <v>192</v>
      </c>
      <c r="F236" s="24">
        <f t="shared" si="6"/>
        <v>27.091093802912294</v>
      </c>
    </row>
    <row r="237" spans="2:6" x14ac:dyDescent="0.25">
      <c r="B237" s="1" t="s">
        <v>323</v>
      </c>
      <c r="C237" s="1" t="s">
        <v>261</v>
      </c>
      <c r="D237" s="1">
        <v>185</v>
      </c>
      <c r="E237" s="1">
        <v>185</v>
      </c>
      <c r="F237" s="24">
        <f t="shared" si="6"/>
        <v>26.103397674681116</v>
      </c>
    </row>
    <row r="238" spans="2:6" x14ac:dyDescent="0.25">
      <c r="B238" s="1" t="s">
        <v>441</v>
      </c>
      <c r="C238" s="1" t="s">
        <v>256</v>
      </c>
      <c r="D238" s="1">
        <v>2</v>
      </c>
      <c r="E238" s="1">
        <v>90</v>
      </c>
      <c r="F238" s="24">
        <f t="shared" si="6"/>
        <v>12.698950220115137</v>
      </c>
    </row>
    <row r="239" spans="2:6" x14ac:dyDescent="0.25">
      <c r="B239" s="1"/>
      <c r="C239" s="1"/>
      <c r="D239" s="1"/>
      <c r="E239" s="1"/>
      <c r="F239" s="24">
        <f t="shared" si="6"/>
        <v>0</v>
      </c>
    </row>
    <row r="240" spans="2:6" x14ac:dyDescent="0.25">
      <c r="B240" s="1"/>
      <c r="C240" s="1"/>
      <c r="D240" s="1"/>
      <c r="E240" s="1"/>
      <c r="F240" s="24">
        <f t="shared" si="6"/>
        <v>0</v>
      </c>
    </row>
    <row r="241" spans="2:6" x14ac:dyDescent="0.25">
      <c r="B241" s="1"/>
      <c r="C241" s="1"/>
      <c r="D241" s="1"/>
      <c r="E241" s="1"/>
      <c r="F241" s="24">
        <f t="shared" si="6"/>
        <v>0</v>
      </c>
    </row>
    <row r="242" spans="2:6" x14ac:dyDescent="0.25">
      <c r="B242" s="10" t="s">
        <v>20</v>
      </c>
      <c r="C242" s="1"/>
      <c r="D242" s="1"/>
      <c r="E242" s="4">
        <f>SUM(E229:E241)</f>
        <v>1645.8</v>
      </c>
      <c r="F242" s="22">
        <f>SUM(F229:F241)</f>
        <v>232.22146969183879</v>
      </c>
    </row>
    <row r="243" spans="2:6" x14ac:dyDescent="0.25">
      <c r="B243" s="4" t="s">
        <v>22</v>
      </c>
      <c r="C243" s="6"/>
      <c r="D243" s="6"/>
      <c r="E243" s="6"/>
      <c r="F243" s="23">
        <f>F227+F242</f>
        <v>247.9014696918388</v>
      </c>
    </row>
    <row r="244" spans="2:6" x14ac:dyDescent="0.25">
      <c r="B244" s="7"/>
      <c r="C244" s="7"/>
      <c r="D244" s="7"/>
      <c r="E244" s="7"/>
      <c r="F244" s="7"/>
    </row>
    <row r="245" spans="2:6" x14ac:dyDescent="0.25">
      <c r="B245" s="13"/>
      <c r="C245" s="13"/>
      <c r="D245" s="13"/>
      <c r="E245" s="13"/>
      <c r="F245" s="13"/>
    </row>
    <row r="246" spans="2:6" x14ac:dyDescent="0.25">
      <c r="B246" s="13"/>
      <c r="C246" s="13"/>
      <c r="D246" s="13"/>
      <c r="E246" s="13"/>
      <c r="F246" s="13"/>
    </row>
    <row r="247" spans="2:6" x14ac:dyDescent="0.25">
      <c r="B247" s="39" t="s">
        <v>23</v>
      </c>
      <c r="C247" s="38"/>
      <c r="D247" s="13"/>
      <c r="E247" s="39" t="s">
        <v>24</v>
      </c>
      <c r="F247" s="38"/>
    </row>
    <row r="249" spans="2:6" ht="34.9" customHeight="1" x14ac:dyDescent="0.25">
      <c r="B249" s="37" t="s">
        <v>35</v>
      </c>
      <c r="C249" s="37"/>
      <c r="D249" s="37"/>
      <c r="E249" s="37"/>
      <c r="F249" s="37"/>
    </row>
    <row r="250" spans="2:6" ht="33" customHeight="1" x14ac:dyDescent="0.25">
      <c r="B250" s="37" t="s">
        <v>1</v>
      </c>
      <c r="C250" s="37"/>
      <c r="D250" s="37"/>
      <c r="E250" s="37"/>
      <c r="F250" s="37"/>
    </row>
    <row r="251" spans="2:6" x14ac:dyDescent="0.25">
      <c r="B251" s="14" t="s">
        <v>0</v>
      </c>
      <c r="C251" s="14"/>
      <c r="D251" s="14"/>
      <c r="E251" s="14"/>
      <c r="F251" s="14"/>
    </row>
    <row r="252" spans="2:6" x14ac:dyDescent="0.25">
      <c r="B252" s="12"/>
      <c r="C252" s="38" t="s">
        <v>25</v>
      </c>
      <c r="D252" s="38"/>
      <c r="E252" s="12">
        <v>387.1</v>
      </c>
      <c r="F252" s="12" t="s">
        <v>26</v>
      </c>
    </row>
    <row r="254" spans="2:6" ht="60" x14ac:dyDescent="0.25">
      <c r="B254" s="1" t="s">
        <v>2</v>
      </c>
      <c r="C254" s="1" t="s">
        <v>4</v>
      </c>
      <c r="D254" s="1" t="s">
        <v>3</v>
      </c>
      <c r="E254" s="1" t="s">
        <v>443</v>
      </c>
      <c r="F254" s="1" t="s">
        <v>5</v>
      </c>
    </row>
    <row r="255" spans="2:6" x14ac:dyDescent="0.25">
      <c r="B255" s="1"/>
      <c r="C255" s="1"/>
      <c r="D255" s="1"/>
      <c r="E255" s="1"/>
      <c r="F255" s="1"/>
    </row>
    <row r="256" spans="2:6" x14ac:dyDescent="0.25">
      <c r="B256" s="3" t="s">
        <v>6</v>
      </c>
      <c r="C256" s="1"/>
      <c r="D256" s="1"/>
      <c r="E256" s="1"/>
      <c r="F256" s="1"/>
    </row>
    <row r="257" spans="2:6" x14ac:dyDescent="0.25">
      <c r="B257" s="5" t="s">
        <v>7</v>
      </c>
      <c r="C257" s="1"/>
      <c r="D257" s="1"/>
      <c r="E257" s="1"/>
      <c r="F257" s="5">
        <v>2.0099999999999998</v>
      </c>
    </row>
    <row r="258" spans="2:6" x14ac:dyDescent="0.25">
      <c r="B258" s="5" t="s">
        <v>8</v>
      </c>
      <c r="C258" s="1"/>
      <c r="D258" s="1"/>
      <c r="E258" s="1"/>
      <c r="F258" s="5">
        <v>5.34</v>
      </c>
    </row>
    <row r="259" spans="2:6" ht="24.75" x14ac:dyDescent="0.25">
      <c r="B259" s="5" t="s">
        <v>11</v>
      </c>
      <c r="C259" s="1"/>
      <c r="D259" s="1"/>
      <c r="E259" s="1"/>
      <c r="F259" s="5">
        <v>0.55000000000000004</v>
      </c>
    </row>
    <row r="260" spans="2:6" ht="24.75" x14ac:dyDescent="0.25">
      <c r="B260" s="5" t="s">
        <v>12</v>
      </c>
      <c r="C260" s="1"/>
      <c r="D260" s="1"/>
      <c r="E260" s="1"/>
      <c r="F260" s="5">
        <v>0.53</v>
      </c>
    </row>
    <row r="261" spans="2:6" ht="24.75" x14ac:dyDescent="0.25">
      <c r="B261" s="5" t="s">
        <v>13</v>
      </c>
      <c r="C261" s="1"/>
      <c r="D261" s="1"/>
      <c r="E261" s="1"/>
      <c r="F261" s="5">
        <v>0.19</v>
      </c>
    </row>
    <row r="262" spans="2:6" ht="24.75" x14ac:dyDescent="0.25">
      <c r="B262" s="5" t="s">
        <v>9</v>
      </c>
      <c r="C262" s="1"/>
      <c r="D262" s="1"/>
      <c r="E262" s="1"/>
      <c r="F262" s="5">
        <v>0.26</v>
      </c>
    </row>
    <row r="263" spans="2:6" ht="24.75" x14ac:dyDescent="0.25">
      <c r="B263" s="5" t="s">
        <v>15</v>
      </c>
      <c r="C263" s="1"/>
      <c r="D263" s="1"/>
      <c r="E263" s="1"/>
      <c r="F263" s="5">
        <v>0.27</v>
      </c>
    </row>
    <row r="264" spans="2:6" ht="24.75" x14ac:dyDescent="0.25">
      <c r="B264" s="5" t="s">
        <v>16</v>
      </c>
      <c r="C264" s="1"/>
      <c r="D264" s="1"/>
      <c r="E264" s="1"/>
      <c r="F264" s="5">
        <v>0.28999999999999998</v>
      </c>
    </row>
    <row r="265" spans="2:6" ht="24.75" x14ac:dyDescent="0.25">
      <c r="B265" s="5" t="s">
        <v>17</v>
      </c>
      <c r="C265" s="1"/>
      <c r="D265" s="1"/>
      <c r="E265" s="1"/>
      <c r="F265" s="5">
        <v>0.32</v>
      </c>
    </row>
    <row r="266" spans="2:6" x14ac:dyDescent="0.25">
      <c r="B266" s="5" t="s">
        <v>18</v>
      </c>
      <c r="C266" s="1"/>
      <c r="D266" s="1"/>
      <c r="E266" s="1"/>
      <c r="F266" s="5">
        <v>1.97</v>
      </c>
    </row>
    <row r="267" spans="2:6" x14ac:dyDescent="0.25">
      <c r="B267" s="5" t="s">
        <v>19</v>
      </c>
      <c r="C267" s="1"/>
      <c r="D267" s="1"/>
      <c r="E267" s="1"/>
      <c r="F267" s="5">
        <v>3.95</v>
      </c>
    </row>
    <row r="268" spans="2:6" x14ac:dyDescent="0.25">
      <c r="B268" s="10" t="s">
        <v>20</v>
      </c>
      <c r="C268" s="1"/>
      <c r="D268" s="1"/>
      <c r="E268" s="1"/>
      <c r="F268" s="4">
        <f>SUM(F257:F267)</f>
        <v>15.68</v>
      </c>
    </row>
    <row r="269" spans="2:6" x14ac:dyDescent="0.25">
      <c r="B269" s="3" t="s">
        <v>21</v>
      </c>
      <c r="C269" s="1"/>
      <c r="D269" s="1"/>
      <c r="E269" s="1"/>
      <c r="F269" s="1"/>
    </row>
    <row r="270" spans="2:6" x14ac:dyDescent="0.25">
      <c r="B270" s="1" t="s">
        <v>317</v>
      </c>
      <c r="C270" s="1" t="s">
        <v>256</v>
      </c>
      <c r="D270" s="1">
        <v>1</v>
      </c>
      <c r="E270" s="1">
        <v>45</v>
      </c>
      <c r="F270" s="24">
        <f>E270/387.1*1000/12</f>
        <v>9.6874192715060712</v>
      </c>
    </row>
    <row r="271" spans="2:6" x14ac:dyDescent="0.25">
      <c r="B271" s="1" t="s">
        <v>347</v>
      </c>
      <c r="C271" s="1" t="s">
        <v>26</v>
      </c>
      <c r="D271" s="1">
        <v>560</v>
      </c>
      <c r="E271" s="1">
        <v>140</v>
      </c>
      <c r="F271" s="24">
        <f t="shared" ref="F271:F282" si="7">E271/387.1*1000/12</f>
        <v>30.138637733574441</v>
      </c>
    </row>
    <row r="272" spans="2:6" x14ac:dyDescent="0.25">
      <c r="B272" s="1" t="s">
        <v>334</v>
      </c>
      <c r="C272" s="1" t="s">
        <v>265</v>
      </c>
      <c r="D272" s="1">
        <v>1</v>
      </c>
      <c r="E272" s="1">
        <v>10</v>
      </c>
      <c r="F272" s="24">
        <f t="shared" si="7"/>
        <v>2.15275983811246</v>
      </c>
    </row>
    <row r="273" spans="2:6" x14ac:dyDescent="0.25">
      <c r="B273" s="1" t="s">
        <v>275</v>
      </c>
      <c r="C273" s="1" t="s">
        <v>26</v>
      </c>
      <c r="D273" s="1">
        <v>63</v>
      </c>
      <c r="E273" s="1">
        <v>94.5</v>
      </c>
      <c r="F273" s="24">
        <f t="shared" si="7"/>
        <v>20.343580470162745</v>
      </c>
    </row>
    <row r="274" spans="2:6" x14ac:dyDescent="0.25">
      <c r="B274" s="1" t="s">
        <v>330</v>
      </c>
      <c r="C274" s="1" t="s">
        <v>261</v>
      </c>
      <c r="D274" s="1">
        <v>25</v>
      </c>
      <c r="E274" s="1">
        <v>32.5</v>
      </c>
      <c r="F274" s="24">
        <f t="shared" si="7"/>
        <v>6.9964694738654947</v>
      </c>
    </row>
    <row r="275" spans="2:6" x14ac:dyDescent="0.25">
      <c r="B275" s="1" t="s">
        <v>319</v>
      </c>
      <c r="C275" s="1" t="s">
        <v>261</v>
      </c>
      <c r="D275" s="1">
        <v>8</v>
      </c>
      <c r="E275" s="1">
        <v>10.4</v>
      </c>
      <c r="F275" s="24">
        <f t="shared" si="7"/>
        <v>2.2388702316369584</v>
      </c>
    </row>
    <row r="276" spans="2:6" x14ac:dyDescent="0.25">
      <c r="B276" s="1" t="s">
        <v>320</v>
      </c>
      <c r="C276" s="1" t="s">
        <v>261</v>
      </c>
      <c r="D276" s="1">
        <v>25</v>
      </c>
      <c r="E276" s="1">
        <v>47.5</v>
      </c>
      <c r="F276" s="24">
        <f t="shared" si="7"/>
        <v>10.225609231034186</v>
      </c>
    </row>
    <row r="277" spans="2:6" x14ac:dyDescent="0.25">
      <c r="B277" s="1" t="s">
        <v>325</v>
      </c>
      <c r="C277" s="1" t="s">
        <v>261</v>
      </c>
      <c r="D277" s="1">
        <v>20</v>
      </c>
      <c r="E277" s="1">
        <v>38</v>
      </c>
      <c r="F277" s="24">
        <f t="shared" si="7"/>
        <v>8.1804873848273481</v>
      </c>
    </row>
    <row r="278" spans="2:6" x14ac:dyDescent="0.25">
      <c r="B278" s="1" t="s">
        <v>322</v>
      </c>
      <c r="C278" s="1" t="s">
        <v>261</v>
      </c>
      <c r="D278" s="1">
        <v>130</v>
      </c>
      <c r="E278" s="1">
        <v>156</v>
      </c>
      <c r="F278" s="24">
        <f t="shared" si="7"/>
        <v>33.583053474554383</v>
      </c>
    </row>
    <row r="279" spans="2:6" x14ac:dyDescent="0.25">
      <c r="B279" s="1" t="s">
        <v>348</v>
      </c>
      <c r="C279" s="1" t="s">
        <v>261</v>
      </c>
      <c r="D279" s="1">
        <v>140</v>
      </c>
      <c r="E279" s="1">
        <v>140</v>
      </c>
      <c r="F279" s="24">
        <f t="shared" si="7"/>
        <v>30.138637733574441</v>
      </c>
    </row>
    <row r="280" spans="2:6" x14ac:dyDescent="0.25">
      <c r="B280" s="1"/>
      <c r="C280" s="1"/>
      <c r="D280" s="1"/>
      <c r="E280" s="1"/>
      <c r="F280" s="24">
        <f t="shared" si="7"/>
        <v>0</v>
      </c>
    </row>
    <row r="281" spans="2:6" x14ac:dyDescent="0.25">
      <c r="B281" s="1"/>
      <c r="C281" s="1"/>
      <c r="D281" s="1"/>
      <c r="E281" s="1"/>
      <c r="F281" s="24">
        <f t="shared" si="7"/>
        <v>0</v>
      </c>
    </row>
    <row r="282" spans="2:6" x14ac:dyDescent="0.25">
      <c r="B282" s="1"/>
      <c r="C282" s="1"/>
      <c r="D282" s="1"/>
      <c r="E282" s="1"/>
      <c r="F282" s="24">
        <f t="shared" si="7"/>
        <v>0</v>
      </c>
    </row>
    <row r="283" spans="2:6" x14ac:dyDescent="0.25">
      <c r="B283" s="10" t="s">
        <v>20</v>
      </c>
      <c r="C283" s="1"/>
      <c r="D283" s="1"/>
      <c r="E283" s="4">
        <f>SUM(E270:E282)</f>
        <v>713.9</v>
      </c>
      <c r="F283" s="22">
        <f>SUM(F270:F282)</f>
        <v>153.68552484284851</v>
      </c>
    </row>
    <row r="284" spans="2:6" x14ac:dyDescent="0.25">
      <c r="B284" s="4" t="s">
        <v>22</v>
      </c>
      <c r="C284" s="6"/>
      <c r="D284" s="6"/>
      <c r="E284" s="6"/>
      <c r="F284" s="23">
        <f>F268+F283</f>
        <v>169.36552484284852</v>
      </c>
    </row>
    <row r="285" spans="2:6" x14ac:dyDescent="0.25">
      <c r="B285" s="7"/>
      <c r="C285" s="7"/>
      <c r="D285" s="7"/>
      <c r="E285" s="7"/>
      <c r="F285" s="7"/>
    </row>
    <row r="286" spans="2:6" x14ac:dyDescent="0.25">
      <c r="B286" s="13"/>
      <c r="C286" s="13"/>
      <c r="D286" s="13"/>
      <c r="E286" s="13"/>
      <c r="F286" s="13"/>
    </row>
    <row r="287" spans="2:6" x14ac:dyDescent="0.25">
      <c r="B287" s="13"/>
      <c r="C287" s="13"/>
      <c r="D287" s="13"/>
      <c r="E287" s="13"/>
      <c r="F287" s="13"/>
    </row>
    <row r="288" spans="2:6" x14ac:dyDescent="0.25">
      <c r="B288" s="39" t="s">
        <v>23</v>
      </c>
      <c r="C288" s="38"/>
      <c r="D288" s="13"/>
      <c r="E288" s="39" t="s">
        <v>24</v>
      </c>
      <c r="F288" s="38"/>
    </row>
    <row r="291" spans="2:6" ht="34.9" customHeight="1" x14ac:dyDescent="0.25">
      <c r="B291" s="37" t="s">
        <v>36</v>
      </c>
      <c r="C291" s="37"/>
      <c r="D291" s="37"/>
      <c r="E291" s="37"/>
      <c r="F291" s="37"/>
    </row>
    <row r="292" spans="2:6" ht="33" customHeight="1" x14ac:dyDescent="0.25">
      <c r="B292" s="37" t="s">
        <v>1</v>
      </c>
      <c r="C292" s="37"/>
      <c r="D292" s="37"/>
      <c r="E292" s="37"/>
      <c r="F292" s="37"/>
    </row>
    <row r="293" spans="2:6" x14ac:dyDescent="0.25">
      <c r="B293" s="14" t="s">
        <v>0</v>
      </c>
      <c r="C293" s="14"/>
      <c r="D293" s="14"/>
      <c r="E293" s="14"/>
      <c r="F293" s="14"/>
    </row>
    <row r="294" spans="2:6" x14ac:dyDescent="0.25">
      <c r="B294" s="12"/>
      <c r="C294" s="38" t="s">
        <v>25</v>
      </c>
      <c r="D294" s="38"/>
      <c r="E294" s="12">
        <v>4436.3</v>
      </c>
      <c r="F294" s="12" t="s">
        <v>26</v>
      </c>
    </row>
    <row r="296" spans="2:6" ht="60" x14ac:dyDescent="0.25">
      <c r="B296" s="1" t="s">
        <v>2</v>
      </c>
      <c r="C296" s="1" t="s">
        <v>4</v>
      </c>
      <c r="D296" s="1" t="s">
        <v>3</v>
      </c>
      <c r="E296" s="1" t="s">
        <v>443</v>
      </c>
      <c r="F296" s="1" t="s">
        <v>5</v>
      </c>
    </row>
    <row r="297" spans="2:6" x14ac:dyDescent="0.25">
      <c r="B297" s="1"/>
      <c r="C297" s="1"/>
      <c r="D297" s="1"/>
      <c r="E297" s="1"/>
      <c r="F297" s="1"/>
    </row>
    <row r="298" spans="2:6" x14ac:dyDescent="0.25">
      <c r="B298" s="3" t="s">
        <v>6</v>
      </c>
      <c r="C298" s="1"/>
      <c r="D298" s="1"/>
      <c r="E298" s="1"/>
      <c r="F298" s="1"/>
    </row>
    <row r="299" spans="2:6" x14ac:dyDescent="0.25">
      <c r="B299" s="5" t="s">
        <v>7</v>
      </c>
      <c r="C299" s="1"/>
      <c r="D299" s="1"/>
      <c r="E299" s="1"/>
      <c r="F299" s="5">
        <v>2.0099999999999998</v>
      </c>
    </row>
    <row r="300" spans="2:6" x14ac:dyDescent="0.25">
      <c r="B300" s="5" t="s">
        <v>8</v>
      </c>
      <c r="C300" s="1"/>
      <c r="D300" s="1"/>
      <c r="E300" s="1"/>
      <c r="F300" s="5">
        <v>5.34</v>
      </c>
    </row>
    <row r="301" spans="2:6" x14ac:dyDescent="0.25">
      <c r="B301" s="15" t="s">
        <v>30</v>
      </c>
      <c r="C301" s="1"/>
      <c r="D301" s="1"/>
      <c r="E301" s="1"/>
      <c r="F301" s="5">
        <v>0.06</v>
      </c>
    </row>
    <row r="302" spans="2:6" ht="24.75" x14ac:dyDescent="0.25">
      <c r="B302" s="5" t="s">
        <v>11</v>
      </c>
      <c r="C302" s="1"/>
      <c r="D302" s="1"/>
      <c r="E302" s="1"/>
      <c r="F302" s="5">
        <v>0.55000000000000004</v>
      </c>
    </row>
    <row r="303" spans="2:6" ht="24.75" x14ac:dyDescent="0.25">
      <c r="B303" s="5" t="s">
        <v>12</v>
      </c>
      <c r="C303" s="1"/>
      <c r="D303" s="1"/>
      <c r="E303" s="1"/>
      <c r="F303" s="5">
        <v>0.53</v>
      </c>
    </row>
    <row r="304" spans="2:6" ht="24.75" x14ac:dyDescent="0.25">
      <c r="B304" s="5" t="s">
        <v>13</v>
      </c>
      <c r="C304" s="1"/>
      <c r="D304" s="1"/>
      <c r="E304" s="1"/>
      <c r="F304" s="5">
        <v>0.19</v>
      </c>
    </row>
    <row r="305" spans="2:6" ht="24.75" x14ac:dyDescent="0.25">
      <c r="B305" s="5" t="s">
        <v>14</v>
      </c>
      <c r="C305" s="1"/>
      <c r="D305" s="1"/>
      <c r="E305" s="1"/>
      <c r="F305" s="5">
        <v>1.25</v>
      </c>
    </row>
    <row r="306" spans="2:6" ht="24.75" x14ac:dyDescent="0.25">
      <c r="B306" s="5" t="s">
        <v>9</v>
      </c>
      <c r="C306" s="1"/>
      <c r="D306" s="1"/>
      <c r="E306" s="1"/>
      <c r="F306" s="5">
        <v>0.26</v>
      </c>
    </row>
    <row r="307" spans="2:6" ht="24.75" x14ac:dyDescent="0.25">
      <c r="B307" s="5" t="s">
        <v>15</v>
      </c>
      <c r="C307" s="1"/>
      <c r="D307" s="1"/>
      <c r="E307" s="1"/>
      <c r="F307" s="5">
        <v>0.27</v>
      </c>
    </row>
    <row r="308" spans="2:6" ht="24.75" x14ac:dyDescent="0.25">
      <c r="B308" s="5" t="s">
        <v>16</v>
      </c>
      <c r="C308" s="1"/>
      <c r="D308" s="1"/>
      <c r="E308" s="1"/>
      <c r="F308" s="5">
        <v>0.28999999999999998</v>
      </c>
    </row>
    <row r="309" spans="2:6" ht="24.75" x14ac:dyDescent="0.25">
      <c r="B309" s="5" t="s">
        <v>17</v>
      </c>
      <c r="C309" s="1"/>
      <c r="D309" s="1"/>
      <c r="E309" s="1"/>
      <c r="F309" s="5">
        <v>0.32</v>
      </c>
    </row>
    <row r="310" spans="2:6" x14ac:dyDescent="0.25">
      <c r="B310" s="5" t="s">
        <v>18</v>
      </c>
      <c r="C310" s="1"/>
      <c r="D310" s="1"/>
      <c r="E310" s="1"/>
      <c r="F310" s="5">
        <v>1.97</v>
      </c>
    </row>
    <row r="311" spans="2:6" x14ac:dyDescent="0.25">
      <c r="B311" s="5" t="s">
        <v>19</v>
      </c>
      <c r="C311" s="1"/>
      <c r="D311" s="1"/>
      <c r="E311" s="1"/>
      <c r="F311" s="5">
        <v>3.95</v>
      </c>
    </row>
    <row r="312" spans="2:6" x14ac:dyDescent="0.25">
      <c r="B312" s="10" t="s">
        <v>20</v>
      </c>
      <c r="C312" s="1"/>
      <c r="D312" s="1"/>
      <c r="E312" s="1"/>
      <c r="F312" s="4">
        <f>SUM(F299:F311)</f>
        <v>16.989999999999998</v>
      </c>
    </row>
    <row r="313" spans="2:6" x14ac:dyDescent="0.25">
      <c r="B313" s="3" t="s">
        <v>21</v>
      </c>
      <c r="C313" s="1"/>
      <c r="D313" s="1"/>
      <c r="E313" s="1"/>
      <c r="F313" s="1"/>
    </row>
    <row r="314" spans="2:6" ht="30" x14ac:dyDescent="0.25">
      <c r="B314" s="1" t="s">
        <v>349</v>
      </c>
      <c r="C314" s="1" t="s">
        <v>261</v>
      </c>
      <c r="D314" s="1">
        <v>250</v>
      </c>
      <c r="E314" s="1">
        <v>112.5</v>
      </c>
      <c r="F314" s="24">
        <f>E314/4436.3*1000/12</f>
        <v>2.1132475260915626</v>
      </c>
    </row>
    <row r="315" spans="2:6" x14ac:dyDescent="0.25">
      <c r="B315" s="1" t="s">
        <v>272</v>
      </c>
      <c r="C315" s="1" t="s">
        <v>265</v>
      </c>
      <c r="D315" s="1">
        <v>5</v>
      </c>
      <c r="E315" s="1">
        <v>50</v>
      </c>
      <c r="F315" s="24">
        <f t="shared" ref="F315:F325" si="8">E315/4436.3*1000/12</f>
        <v>0.93922112270736136</v>
      </c>
    </row>
    <row r="316" spans="2:6" x14ac:dyDescent="0.25">
      <c r="B316" s="1" t="s">
        <v>354</v>
      </c>
      <c r="C316" s="1" t="s">
        <v>256</v>
      </c>
      <c r="D316" s="1">
        <v>2</v>
      </c>
      <c r="E316" s="1">
        <v>114</v>
      </c>
      <c r="F316" s="24">
        <f t="shared" si="8"/>
        <v>2.1414241597727837</v>
      </c>
    </row>
    <row r="317" spans="2:6" ht="30" x14ac:dyDescent="0.25">
      <c r="B317" s="1" t="s">
        <v>350</v>
      </c>
      <c r="C317" s="1" t="s">
        <v>256</v>
      </c>
      <c r="D317" s="1">
        <v>3</v>
      </c>
      <c r="E317" s="1">
        <v>21</v>
      </c>
      <c r="F317" s="24">
        <f t="shared" si="8"/>
        <v>0.39447287153709171</v>
      </c>
    </row>
    <row r="318" spans="2:6" x14ac:dyDescent="0.25">
      <c r="B318" s="1" t="s">
        <v>319</v>
      </c>
      <c r="C318" s="1" t="s">
        <v>261</v>
      </c>
      <c r="D318" s="1">
        <v>228</v>
      </c>
      <c r="E318" s="1">
        <v>296.39999999999998</v>
      </c>
      <c r="F318" s="24">
        <f t="shared" si="8"/>
        <v>5.5677028154092367</v>
      </c>
    </row>
    <row r="319" spans="2:6" x14ac:dyDescent="0.25">
      <c r="B319" s="1" t="s">
        <v>320</v>
      </c>
      <c r="C319" s="1" t="s">
        <v>261</v>
      </c>
      <c r="D319" s="1">
        <v>150</v>
      </c>
      <c r="E319" s="1">
        <v>285</v>
      </c>
      <c r="F319" s="24">
        <f t="shared" si="8"/>
        <v>5.3535603994319594</v>
      </c>
    </row>
    <row r="320" spans="2:6" x14ac:dyDescent="0.25">
      <c r="B320" s="1" t="s">
        <v>325</v>
      </c>
      <c r="C320" s="1" t="s">
        <v>261</v>
      </c>
      <c r="D320" s="1">
        <v>336</v>
      </c>
      <c r="E320" s="1">
        <v>638.4</v>
      </c>
      <c r="F320" s="24">
        <f t="shared" si="8"/>
        <v>11.991975294727586</v>
      </c>
    </row>
    <row r="321" spans="2:6" x14ac:dyDescent="0.25">
      <c r="B321" s="1" t="s">
        <v>321</v>
      </c>
      <c r="C321" s="1" t="s">
        <v>256</v>
      </c>
      <c r="D321" s="1">
        <v>4</v>
      </c>
      <c r="E321" s="1">
        <v>600</v>
      </c>
      <c r="F321" s="24">
        <f t="shared" si="8"/>
        <v>11.270653472488334</v>
      </c>
    </row>
    <row r="322" spans="2:6" x14ac:dyDescent="0.25">
      <c r="B322" s="1" t="s">
        <v>351</v>
      </c>
      <c r="C322" s="1" t="s">
        <v>261</v>
      </c>
      <c r="D322" s="1">
        <v>350</v>
      </c>
      <c r="E322" s="1">
        <v>420</v>
      </c>
      <c r="F322" s="24">
        <f t="shared" si="8"/>
        <v>7.8894574307418344</v>
      </c>
    </row>
    <row r="323" spans="2:6" x14ac:dyDescent="0.25">
      <c r="B323" s="1" t="s">
        <v>323</v>
      </c>
      <c r="C323" s="1" t="s">
        <v>261</v>
      </c>
      <c r="D323" s="1">
        <v>850</v>
      </c>
      <c r="E323" s="1">
        <v>850</v>
      </c>
      <c r="F323" s="24">
        <f t="shared" si="8"/>
        <v>15.96675908602514</v>
      </c>
    </row>
    <row r="324" spans="2:6" x14ac:dyDescent="0.25">
      <c r="B324" s="1" t="s">
        <v>352</v>
      </c>
      <c r="C324" s="1" t="s">
        <v>331</v>
      </c>
      <c r="D324" s="1">
        <v>112</v>
      </c>
      <c r="E324" s="1">
        <v>89.6</v>
      </c>
      <c r="F324" s="24">
        <f t="shared" si="8"/>
        <v>1.6830842518915912</v>
      </c>
    </row>
    <row r="325" spans="2:6" x14ac:dyDescent="0.25">
      <c r="B325" s="1" t="s">
        <v>353</v>
      </c>
      <c r="C325" s="1" t="s">
        <v>256</v>
      </c>
      <c r="D325" s="1">
        <v>6</v>
      </c>
      <c r="E325" s="1">
        <v>6</v>
      </c>
      <c r="F325" s="24">
        <f t="shared" si="8"/>
        <v>0.11270653472488334</v>
      </c>
    </row>
    <row r="326" spans="2:6" x14ac:dyDescent="0.25">
      <c r="B326" s="10" t="s">
        <v>20</v>
      </c>
      <c r="C326" s="1"/>
      <c r="D326" s="1"/>
      <c r="E326" s="4">
        <f>SUM(E314:E325)</f>
        <v>3482.9</v>
      </c>
      <c r="F326" s="22">
        <f>SUM(F314:F325)</f>
        <v>65.424264965549355</v>
      </c>
    </row>
    <row r="327" spans="2:6" x14ac:dyDescent="0.25">
      <c r="B327" s="4" t="s">
        <v>22</v>
      </c>
      <c r="C327" s="6"/>
      <c r="D327" s="6"/>
      <c r="E327" s="6"/>
      <c r="F327" s="23">
        <f>F312+F326</f>
        <v>82.41426496554935</v>
      </c>
    </row>
    <row r="328" spans="2:6" x14ac:dyDescent="0.25">
      <c r="B328" s="7"/>
      <c r="C328" s="7"/>
      <c r="D328" s="7"/>
      <c r="E328" s="7"/>
      <c r="F328" s="7"/>
    </row>
    <row r="329" spans="2:6" x14ac:dyDescent="0.25">
      <c r="B329" s="13"/>
      <c r="C329" s="13"/>
      <c r="D329" s="13"/>
      <c r="E329" s="13"/>
      <c r="F329" s="13"/>
    </row>
    <row r="330" spans="2:6" x14ac:dyDescent="0.25">
      <c r="B330" s="13"/>
      <c r="C330" s="13"/>
      <c r="D330" s="13"/>
      <c r="E330" s="13"/>
      <c r="F330" s="13"/>
    </row>
    <row r="331" spans="2:6" x14ac:dyDescent="0.25">
      <c r="B331" s="39" t="s">
        <v>23</v>
      </c>
      <c r="C331" s="38"/>
      <c r="D331" s="13"/>
      <c r="E331" s="39" t="s">
        <v>24</v>
      </c>
      <c r="F331" s="38"/>
    </row>
    <row r="333" spans="2:6" ht="34.15" customHeight="1" x14ac:dyDescent="0.25">
      <c r="B333" s="37" t="s">
        <v>444</v>
      </c>
      <c r="C333" s="37"/>
      <c r="D333" s="37"/>
      <c r="E333" s="37"/>
      <c r="F333" s="37"/>
    </row>
    <row r="334" spans="2:6" ht="32.450000000000003" customHeight="1" x14ac:dyDescent="0.25">
      <c r="B334" s="37" t="s">
        <v>1</v>
      </c>
      <c r="C334" s="37"/>
      <c r="D334" s="37"/>
      <c r="E334" s="37"/>
      <c r="F334" s="37"/>
    </row>
    <row r="335" spans="2:6" x14ac:dyDescent="0.25">
      <c r="B335" s="14" t="s">
        <v>0</v>
      </c>
      <c r="C335" s="14"/>
      <c r="D335" s="14"/>
      <c r="E335" s="14"/>
      <c r="F335" s="14"/>
    </row>
    <row r="336" spans="2:6" x14ac:dyDescent="0.25">
      <c r="B336" s="12"/>
      <c r="C336" s="38" t="s">
        <v>25</v>
      </c>
      <c r="D336" s="38"/>
      <c r="E336" s="12">
        <v>377.3</v>
      </c>
      <c r="F336" s="12" t="s">
        <v>26</v>
      </c>
    </row>
    <row r="338" spans="2:6" ht="60" x14ac:dyDescent="0.25">
      <c r="B338" s="1" t="s">
        <v>2</v>
      </c>
      <c r="C338" s="1" t="s">
        <v>4</v>
      </c>
      <c r="D338" s="1" t="s">
        <v>3</v>
      </c>
      <c r="E338" s="1" t="s">
        <v>443</v>
      </c>
      <c r="F338" s="1" t="s">
        <v>5</v>
      </c>
    </row>
    <row r="339" spans="2:6" x14ac:dyDescent="0.25">
      <c r="B339" s="1"/>
      <c r="C339" s="1"/>
      <c r="D339" s="1"/>
      <c r="E339" s="1"/>
      <c r="F339" s="1"/>
    </row>
    <row r="340" spans="2:6" x14ac:dyDescent="0.25">
      <c r="B340" s="3" t="s">
        <v>6</v>
      </c>
      <c r="C340" s="1"/>
      <c r="D340" s="1"/>
      <c r="E340" s="1"/>
      <c r="F340" s="1"/>
    </row>
    <row r="341" spans="2:6" x14ac:dyDescent="0.25">
      <c r="B341" s="5" t="s">
        <v>7</v>
      </c>
      <c r="C341" s="1"/>
      <c r="D341" s="1"/>
      <c r="E341" s="1"/>
      <c r="F341" s="5">
        <v>2.0099999999999998</v>
      </c>
    </row>
    <row r="342" spans="2:6" x14ac:dyDescent="0.25">
      <c r="B342" s="5" t="s">
        <v>8</v>
      </c>
      <c r="C342" s="1"/>
      <c r="D342" s="1"/>
      <c r="E342" s="1"/>
      <c r="F342" s="5">
        <v>5.34</v>
      </c>
    </row>
    <row r="343" spans="2:6" ht="24.75" x14ac:dyDescent="0.25">
      <c r="B343" s="5" t="s">
        <v>11</v>
      </c>
      <c r="C343" s="1"/>
      <c r="D343" s="1"/>
      <c r="E343" s="1"/>
      <c r="F343" s="5">
        <v>0.55000000000000004</v>
      </c>
    </row>
    <row r="344" spans="2:6" ht="24.75" x14ac:dyDescent="0.25">
      <c r="B344" s="5" t="s">
        <v>12</v>
      </c>
      <c r="C344" s="1"/>
      <c r="D344" s="1"/>
      <c r="E344" s="1"/>
      <c r="F344" s="5">
        <v>0.53</v>
      </c>
    </row>
    <row r="345" spans="2:6" ht="24.75" x14ac:dyDescent="0.25">
      <c r="B345" s="5" t="s">
        <v>13</v>
      </c>
      <c r="C345" s="1"/>
      <c r="D345" s="1"/>
      <c r="E345" s="1"/>
      <c r="F345" s="5">
        <v>0.19</v>
      </c>
    </row>
    <row r="346" spans="2:6" ht="24.75" x14ac:dyDescent="0.25">
      <c r="B346" s="5" t="s">
        <v>14</v>
      </c>
      <c r="C346" s="1"/>
      <c r="D346" s="1"/>
      <c r="E346" s="1"/>
      <c r="F346" s="5">
        <v>1.25</v>
      </c>
    </row>
    <row r="347" spans="2:6" ht="24.75" x14ac:dyDescent="0.25">
      <c r="B347" s="5" t="s">
        <v>9</v>
      </c>
      <c r="C347" s="1"/>
      <c r="D347" s="1"/>
      <c r="E347" s="1"/>
      <c r="F347" s="5">
        <v>0.26</v>
      </c>
    </row>
    <row r="348" spans="2:6" ht="24.75" x14ac:dyDescent="0.25">
      <c r="B348" s="5" t="s">
        <v>15</v>
      </c>
      <c r="C348" s="1"/>
      <c r="D348" s="1"/>
      <c r="E348" s="1"/>
      <c r="F348" s="5">
        <v>0.27</v>
      </c>
    </row>
    <row r="349" spans="2:6" ht="24.75" x14ac:dyDescent="0.25">
      <c r="B349" s="5" t="s">
        <v>16</v>
      </c>
      <c r="C349" s="1"/>
      <c r="D349" s="1"/>
      <c r="E349" s="1"/>
      <c r="F349" s="5">
        <v>0.28999999999999998</v>
      </c>
    </row>
    <row r="350" spans="2:6" ht="24.75" x14ac:dyDescent="0.25">
      <c r="B350" s="5" t="s">
        <v>17</v>
      </c>
      <c r="C350" s="1"/>
      <c r="D350" s="1"/>
      <c r="E350" s="1"/>
      <c r="F350" s="5">
        <v>0.32</v>
      </c>
    </row>
    <row r="351" spans="2:6" x14ac:dyDescent="0.25">
      <c r="B351" s="5" t="s">
        <v>18</v>
      </c>
      <c r="C351" s="1"/>
      <c r="D351" s="1"/>
      <c r="E351" s="1"/>
      <c r="F351" s="5">
        <v>1.97</v>
      </c>
    </row>
    <row r="352" spans="2:6" x14ac:dyDescent="0.25">
      <c r="B352" s="5" t="s">
        <v>19</v>
      </c>
      <c r="C352" s="1"/>
      <c r="D352" s="1"/>
      <c r="E352" s="1"/>
      <c r="F352" s="5">
        <v>3.95</v>
      </c>
    </row>
    <row r="353" spans="2:6" x14ac:dyDescent="0.25">
      <c r="B353" s="10" t="s">
        <v>20</v>
      </c>
      <c r="C353" s="1"/>
      <c r="D353" s="1"/>
      <c r="E353" s="1"/>
      <c r="F353" s="4">
        <f>SUM(F341:F352)</f>
        <v>16.93</v>
      </c>
    </row>
    <row r="354" spans="2:6" x14ac:dyDescent="0.25">
      <c r="B354" s="3" t="s">
        <v>21</v>
      </c>
      <c r="C354" s="1"/>
      <c r="D354" s="1"/>
      <c r="E354" s="1"/>
      <c r="F354" s="1"/>
    </row>
    <row r="355" spans="2:6" x14ac:dyDescent="0.25">
      <c r="B355" s="1" t="s">
        <v>354</v>
      </c>
      <c r="C355" s="1" t="s">
        <v>256</v>
      </c>
      <c r="D355" s="1">
        <v>2</v>
      </c>
      <c r="E355" s="1"/>
      <c r="F355" s="1">
        <f>E355/377.3*1000/12</f>
        <v>0</v>
      </c>
    </row>
    <row r="356" spans="2:6" x14ac:dyDescent="0.25">
      <c r="B356" s="1"/>
      <c r="C356" s="1"/>
      <c r="D356" s="1"/>
      <c r="E356" s="1"/>
      <c r="F356" s="1">
        <f t="shared" ref="F356:F367" si="9">E356/377.3*1000/12</f>
        <v>0</v>
      </c>
    </row>
    <row r="357" spans="2:6" x14ac:dyDescent="0.25">
      <c r="B357" s="1"/>
      <c r="C357" s="1"/>
      <c r="D357" s="1"/>
      <c r="E357" s="1"/>
      <c r="F357" s="1">
        <f t="shared" si="9"/>
        <v>0</v>
      </c>
    </row>
    <row r="358" spans="2:6" x14ac:dyDescent="0.25">
      <c r="B358" s="1"/>
      <c r="C358" s="1"/>
      <c r="D358" s="1"/>
      <c r="E358" s="1"/>
      <c r="F358" s="1">
        <f t="shared" si="9"/>
        <v>0</v>
      </c>
    </row>
    <row r="359" spans="2:6" x14ac:dyDescent="0.25">
      <c r="B359" s="1"/>
      <c r="C359" s="1"/>
      <c r="D359" s="1"/>
      <c r="E359" s="1"/>
      <c r="F359" s="1">
        <f t="shared" si="9"/>
        <v>0</v>
      </c>
    </row>
    <row r="360" spans="2:6" x14ac:dyDescent="0.25">
      <c r="B360" s="1"/>
      <c r="C360" s="1"/>
      <c r="D360" s="1"/>
      <c r="E360" s="1"/>
      <c r="F360" s="1">
        <f t="shared" si="9"/>
        <v>0</v>
      </c>
    </row>
    <row r="361" spans="2:6" x14ac:dyDescent="0.25">
      <c r="B361" s="1"/>
      <c r="C361" s="1"/>
      <c r="D361" s="1"/>
      <c r="E361" s="1"/>
      <c r="F361" s="1">
        <f t="shared" si="9"/>
        <v>0</v>
      </c>
    </row>
    <row r="362" spans="2:6" x14ac:dyDescent="0.25">
      <c r="B362" s="1"/>
      <c r="C362" s="1"/>
      <c r="D362" s="1"/>
      <c r="E362" s="1"/>
      <c r="F362" s="1">
        <f t="shared" si="9"/>
        <v>0</v>
      </c>
    </row>
    <row r="363" spans="2:6" x14ac:dyDescent="0.25">
      <c r="B363" s="1"/>
      <c r="C363" s="1"/>
      <c r="D363" s="1"/>
      <c r="E363" s="1"/>
      <c r="F363" s="1">
        <f t="shared" si="9"/>
        <v>0</v>
      </c>
    </row>
    <row r="364" spans="2:6" x14ac:dyDescent="0.25">
      <c r="B364" s="1"/>
      <c r="C364" s="1"/>
      <c r="D364" s="1"/>
      <c r="E364" s="1"/>
      <c r="F364" s="1">
        <f t="shared" si="9"/>
        <v>0</v>
      </c>
    </row>
    <row r="365" spans="2:6" x14ac:dyDescent="0.25">
      <c r="B365" s="1"/>
      <c r="C365" s="1"/>
      <c r="D365" s="1"/>
      <c r="E365" s="1"/>
      <c r="F365" s="1">
        <f t="shared" si="9"/>
        <v>0</v>
      </c>
    </row>
    <row r="366" spans="2:6" x14ac:dyDescent="0.25">
      <c r="B366" s="1"/>
      <c r="C366" s="1"/>
      <c r="D366" s="1"/>
      <c r="E366" s="1"/>
      <c r="F366" s="1">
        <f t="shared" si="9"/>
        <v>0</v>
      </c>
    </row>
    <row r="367" spans="2:6" x14ac:dyDescent="0.25">
      <c r="B367" s="1"/>
      <c r="C367" s="1"/>
      <c r="D367" s="1"/>
      <c r="E367" s="1"/>
      <c r="F367" s="1">
        <f t="shared" si="9"/>
        <v>0</v>
      </c>
    </row>
    <row r="368" spans="2:6" x14ac:dyDescent="0.25">
      <c r="B368" s="10" t="s">
        <v>20</v>
      </c>
      <c r="C368" s="1"/>
      <c r="D368" s="1"/>
      <c r="E368" s="4">
        <f>SUM(E355:E367)</f>
        <v>0</v>
      </c>
      <c r="F368" s="4">
        <f>SUM(F355:F367)</f>
        <v>0</v>
      </c>
    </row>
    <row r="369" spans="2:6" x14ac:dyDescent="0.25">
      <c r="B369" s="4" t="s">
        <v>22</v>
      </c>
      <c r="C369" s="6"/>
      <c r="D369" s="6"/>
      <c r="E369" s="6"/>
      <c r="F369" s="11">
        <f>F353+F368</f>
        <v>16.93</v>
      </c>
    </row>
    <row r="370" spans="2:6" x14ac:dyDescent="0.25">
      <c r="B370" s="7"/>
      <c r="C370" s="7"/>
      <c r="D370" s="7"/>
      <c r="E370" s="7"/>
      <c r="F370" s="7"/>
    </row>
    <row r="371" spans="2:6" x14ac:dyDescent="0.25">
      <c r="B371" s="13"/>
      <c r="C371" s="13"/>
      <c r="D371" s="13"/>
      <c r="E371" s="13"/>
      <c r="F371" s="13"/>
    </row>
    <row r="372" spans="2:6" x14ac:dyDescent="0.25">
      <c r="B372" s="13"/>
      <c r="C372" s="13"/>
      <c r="D372" s="13"/>
      <c r="E372" s="13"/>
      <c r="F372" s="13"/>
    </row>
    <row r="373" spans="2:6" x14ac:dyDescent="0.25">
      <c r="B373" s="39" t="s">
        <v>23</v>
      </c>
      <c r="C373" s="38"/>
      <c r="D373" s="13"/>
      <c r="E373" s="39" t="s">
        <v>24</v>
      </c>
      <c r="F373" s="38"/>
    </row>
    <row r="375" spans="2:6" ht="30" customHeight="1" x14ac:dyDescent="0.25">
      <c r="B375" s="37" t="s">
        <v>38</v>
      </c>
      <c r="C375" s="37"/>
      <c r="D375" s="37"/>
      <c r="E375" s="37"/>
      <c r="F375" s="37"/>
    </row>
    <row r="376" spans="2:6" ht="30" customHeight="1" x14ac:dyDescent="0.25">
      <c r="B376" s="37" t="s">
        <v>1</v>
      </c>
      <c r="C376" s="37"/>
      <c r="D376" s="37"/>
      <c r="E376" s="37"/>
      <c r="F376" s="37"/>
    </row>
    <row r="377" spans="2:6" x14ac:dyDescent="0.25">
      <c r="B377" s="14" t="s">
        <v>0</v>
      </c>
      <c r="C377" s="14"/>
      <c r="D377" s="14"/>
      <c r="E377" s="14"/>
      <c r="F377" s="14"/>
    </row>
    <row r="378" spans="2:6" x14ac:dyDescent="0.25">
      <c r="B378" s="12"/>
      <c r="C378" s="38" t="s">
        <v>25</v>
      </c>
      <c r="D378" s="38"/>
      <c r="E378" s="12">
        <v>1935.1</v>
      </c>
      <c r="F378" s="12" t="s">
        <v>26</v>
      </c>
    </row>
    <row r="380" spans="2:6" ht="60" x14ac:dyDescent="0.25">
      <c r="B380" s="1" t="s">
        <v>2</v>
      </c>
      <c r="C380" s="1" t="s">
        <v>4</v>
      </c>
      <c r="D380" s="1" t="s">
        <v>3</v>
      </c>
      <c r="E380" s="1" t="s">
        <v>443</v>
      </c>
      <c r="F380" s="1" t="s">
        <v>5</v>
      </c>
    </row>
    <row r="381" spans="2:6" x14ac:dyDescent="0.25">
      <c r="B381" s="1"/>
      <c r="C381" s="1"/>
      <c r="D381" s="1"/>
      <c r="E381" s="1"/>
      <c r="F381" s="1"/>
    </row>
    <row r="382" spans="2:6" x14ac:dyDescent="0.25">
      <c r="B382" s="3" t="s">
        <v>6</v>
      </c>
      <c r="C382" s="1"/>
      <c r="D382" s="1"/>
      <c r="E382" s="1"/>
      <c r="F382" s="1"/>
    </row>
    <row r="383" spans="2:6" x14ac:dyDescent="0.25">
      <c r="B383" s="5" t="s">
        <v>7</v>
      </c>
      <c r="C383" s="1"/>
      <c r="D383" s="1"/>
      <c r="E383" s="1"/>
      <c r="F383" s="5">
        <v>2.0099999999999998</v>
      </c>
    </row>
    <row r="384" spans="2:6" x14ac:dyDescent="0.25">
      <c r="B384" s="5" t="s">
        <v>8</v>
      </c>
      <c r="C384" s="1"/>
      <c r="D384" s="1"/>
      <c r="E384" s="1"/>
      <c r="F384" s="5">
        <v>5.34</v>
      </c>
    </row>
    <row r="385" spans="2:6" x14ac:dyDescent="0.25">
      <c r="B385" s="15" t="s">
        <v>30</v>
      </c>
      <c r="C385" s="1"/>
      <c r="D385" s="1"/>
      <c r="E385" s="1"/>
      <c r="F385" s="5">
        <v>0.06</v>
      </c>
    </row>
    <row r="386" spans="2:6" ht="24.75" x14ac:dyDescent="0.25">
      <c r="B386" s="5" t="s">
        <v>11</v>
      </c>
      <c r="C386" s="1"/>
      <c r="D386" s="1"/>
      <c r="E386" s="1"/>
      <c r="F386" s="5">
        <v>0.55000000000000004</v>
      </c>
    </row>
    <row r="387" spans="2:6" ht="24.75" x14ac:dyDescent="0.25">
      <c r="B387" s="5" t="s">
        <v>12</v>
      </c>
      <c r="C387" s="1"/>
      <c r="D387" s="1"/>
      <c r="E387" s="1"/>
      <c r="F387" s="5">
        <v>0.53</v>
      </c>
    </row>
    <row r="388" spans="2:6" ht="24.75" x14ac:dyDescent="0.25">
      <c r="B388" s="5" t="s">
        <v>13</v>
      </c>
      <c r="C388" s="1"/>
      <c r="D388" s="1"/>
      <c r="E388" s="1"/>
      <c r="F388" s="5">
        <v>0.19</v>
      </c>
    </row>
    <row r="389" spans="2:6" ht="24.75" x14ac:dyDescent="0.25">
      <c r="B389" s="5" t="s">
        <v>14</v>
      </c>
      <c r="C389" s="1"/>
      <c r="D389" s="1"/>
      <c r="E389" s="1"/>
      <c r="F389" s="5">
        <v>1.25</v>
      </c>
    </row>
    <row r="390" spans="2:6" ht="24.75" x14ac:dyDescent="0.25">
      <c r="B390" s="5" t="s">
        <v>9</v>
      </c>
      <c r="C390" s="1"/>
      <c r="D390" s="1"/>
      <c r="E390" s="1"/>
      <c r="F390" s="5">
        <v>0.26</v>
      </c>
    </row>
    <row r="391" spans="2:6" ht="24.75" x14ac:dyDescent="0.25">
      <c r="B391" s="5" t="s">
        <v>15</v>
      </c>
      <c r="C391" s="1"/>
      <c r="D391" s="1"/>
      <c r="E391" s="1"/>
      <c r="F391" s="5">
        <v>0.27</v>
      </c>
    </row>
    <row r="392" spans="2:6" ht="24.75" x14ac:dyDescent="0.25">
      <c r="B392" s="5" t="s">
        <v>16</v>
      </c>
      <c r="C392" s="1"/>
      <c r="D392" s="1"/>
      <c r="E392" s="1"/>
      <c r="F392" s="5">
        <v>0.28999999999999998</v>
      </c>
    </row>
    <row r="393" spans="2:6" ht="24.75" x14ac:dyDescent="0.25">
      <c r="B393" s="5" t="s">
        <v>17</v>
      </c>
      <c r="C393" s="1"/>
      <c r="D393" s="1"/>
      <c r="E393" s="1"/>
      <c r="F393" s="5">
        <v>0.32</v>
      </c>
    </row>
    <row r="394" spans="2:6" x14ac:dyDescent="0.25">
      <c r="B394" s="5" t="s">
        <v>18</v>
      </c>
      <c r="C394" s="1"/>
      <c r="D394" s="1"/>
      <c r="E394" s="1"/>
      <c r="F394" s="5">
        <v>1.97</v>
      </c>
    </row>
    <row r="395" spans="2:6" x14ac:dyDescent="0.25">
      <c r="B395" s="5" t="s">
        <v>19</v>
      </c>
      <c r="C395" s="1"/>
      <c r="D395" s="1"/>
      <c r="E395" s="1"/>
      <c r="F395" s="5">
        <v>3.95</v>
      </c>
    </row>
    <row r="396" spans="2:6" x14ac:dyDescent="0.25">
      <c r="B396" s="10" t="s">
        <v>20</v>
      </c>
      <c r="C396" s="1"/>
      <c r="D396" s="1"/>
      <c r="E396" s="1"/>
      <c r="F396" s="4">
        <f>SUM(F383:F395)</f>
        <v>16.989999999999998</v>
      </c>
    </row>
    <row r="397" spans="2:6" x14ac:dyDescent="0.25">
      <c r="B397" s="3" t="s">
        <v>21</v>
      </c>
      <c r="C397" s="1"/>
      <c r="D397" s="1"/>
      <c r="E397" s="1"/>
      <c r="F397" s="1"/>
    </row>
    <row r="398" spans="2:6" x14ac:dyDescent="0.25">
      <c r="B398" s="1" t="s">
        <v>275</v>
      </c>
      <c r="C398" s="1" t="s">
        <v>26</v>
      </c>
      <c r="D398" s="1">
        <v>130</v>
      </c>
      <c r="E398" s="1">
        <v>195</v>
      </c>
      <c r="F398" s="24">
        <f>E398/1935.1*1000/12</f>
        <v>8.3974988372693922</v>
      </c>
    </row>
    <row r="399" spans="2:6" x14ac:dyDescent="0.25">
      <c r="B399" s="1" t="s">
        <v>355</v>
      </c>
      <c r="C399" s="1" t="s">
        <v>26</v>
      </c>
      <c r="D399" s="1">
        <v>20</v>
      </c>
      <c r="E399" s="1">
        <v>12</v>
      </c>
      <c r="F399" s="24">
        <f t="shared" ref="F399:F410" si="10">E399/1935.1*1000/12</f>
        <v>0.51676915921657796</v>
      </c>
    </row>
    <row r="400" spans="2:6" x14ac:dyDescent="0.25">
      <c r="B400" s="1" t="s">
        <v>319</v>
      </c>
      <c r="C400" s="1" t="s">
        <v>261</v>
      </c>
      <c r="D400" s="1">
        <v>70</v>
      </c>
      <c r="E400" s="1">
        <v>91</v>
      </c>
      <c r="F400" s="24">
        <f t="shared" si="10"/>
        <v>3.9188327907257161</v>
      </c>
    </row>
    <row r="401" spans="2:6" x14ac:dyDescent="0.25">
      <c r="B401" s="1" t="s">
        <v>445</v>
      </c>
      <c r="C401" s="1" t="s">
        <v>261</v>
      </c>
      <c r="D401" s="1">
        <v>10</v>
      </c>
      <c r="E401" s="1">
        <v>3</v>
      </c>
      <c r="F401" s="24">
        <f t="shared" si="10"/>
        <v>0.12919228980414449</v>
      </c>
    </row>
    <row r="402" spans="2:6" x14ac:dyDescent="0.25">
      <c r="B402" s="1" t="s">
        <v>320</v>
      </c>
      <c r="C402" s="1" t="s">
        <v>261</v>
      </c>
      <c r="D402" s="1">
        <v>60</v>
      </c>
      <c r="E402" s="1">
        <v>114</v>
      </c>
      <c r="F402" s="24">
        <f t="shared" si="10"/>
        <v>4.9093070125574902</v>
      </c>
    </row>
    <row r="403" spans="2:6" x14ac:dyDescent="0.25">
      <c r="B403" s="1" t="s">
        <v>325</v>
      </c>
      <c r="C403" s="1" t="s">
        <v>261</v>
      </c>
      <c r="D403" s="1">
        <v>86</v>
      </c>
      <c r="E403" s="1">
        <v>163.4</v>
      </c>
      <c r="F403" s="24">
        <f t="shared" si="10"/>
        <v>7.036673384665737</v>
      </c>
    </row>
    <row r="404" spans="2:6" x14ac:dyDescent="0.25">
      <c r="B404" s="1" t="s">
        <v>339</v>
      </c>
      <c r="C404" s="1" t="s">
        <v>26</v>
      </c>
      <c r="D404" s="1">
        <v>5</v>
      </c>
      <c r="E404" s="1">
        <v>5</v>
      </c>
      <c r="F404" s="24">
        <f t="shared" si="10"/>
        <v>0.21532048300690745</v>
      </c>
    </row>
    <row r="405" spans="2:6" x14ac:dyDescent="0.25">
      <c r="B405" s="1" t="s">
        <v>343</v>
      </c>
      <c r="C405" s="1" t="s">
        <v>256</v>
      </c>
      <c r="D405" s="1">
        <v>3</v>
      </c>
      <c r="E405" s="1">
        <v>450</v>
      </c>
      <c r="F405" s="24">
        <f t="shared" si="10"/>
        <v>19.378843470621671</v>
      </c>
    </row>
    <row r="406" spans="2:6" x14ac:dyDescent="0.25">
      <c r="B406" s="1" t="s">
        <v>322</v>
      </c>
      <c r="C406" s="1" t="s">
        <v>261</v>
      </c>
      <c r="D406" s="1">
        <v>240</v>
      </c>
      <c r="E406" s="1">
        <v>288</v>
      </c>
      <c r="F406" s="24">
        <f t="shared" si="10"/>
        <v>12.402459821197871</v>
      </c>
    </row>
    <row r="407" spans="2:6" x14ac:dyDescent="0.25">
      <c r="B407" s="1" t="s">
        <v>323</v>
      </c>
      <c r="C407" s="1" t="s">
        <v>261</v>
      </c>
      <c r="D407" s="1">
        <v>900</v>
      </c>
      <c r="E407" s="1">
        <v>900</v>
      </c>
      <c r="F407" s="24">
        <f t="shared" si="10"/>
        <v>38.757686941243342</v>
      </c>
    </row>
    <row r="408" spans="2:6" x14ac:dyDescent="0.25">
      <c r="B408" s="1" t="s">
        <v>356</v>
      </c>
      <c r="C408" s="1" t="s">
        <v>261</v>
      </c>
      <c r="D408" s="1">
        <v>77</v>
      </c>
      <c r="E408" s="1">
        <v>62</v>
      </c>
      <c r="F408" s="24">
        <f t="shared" si="10"/>
        <v>2.6699739892856531</v>
      </c>
    </row>
    <row r="409" spans="2:6" x14ac:dyDescent="0.25">
      <c r="B409" s="1"/>
      <c r="C409" s="1"/>
      <c r="D409" s="1"/>
      <c r="E409" s="1"/>
      <c r="F409" s="24">
        <f t="shared" si="10"/>
        <v>0</v>
      </c>
    </row>
    <row r="410" spans="2:6" x14ac:dyDescent="0.25">
      <c r="B410" s="1"/>
      <c r="C410" s="1"/>
      <c r="D410" s="1"/>
      <c r="E410" s="1"/>
      <c r="F410" s="24">
        <f t="shared" si="10"/>
        <v>0</v>
      </c>
    </row>
    <row r="411" spans="2:6" x14ac:dyDescent="0.25">
      <c r="B411" s="10" t="s">
        <v>20</v>
      </c>
      <c r="C411" s="1"/>
      <c r="D411" s="1"/>
      <c r="E411" s="4">
        <f>SUM(E398:E410)</f>
        <v>2283.4</v>
      </c>
      <c r="F411" s="22">
        <f>SUM(F398:F410)</f>
        <v>98.3325581795945</v>
      </c>
    </row>
    <row r="412" spans="2:6" x14ac:dyDescent="0.25">
      <c r="B412" s="4" t="s">
        <v>22</v>
      </c>
      <c r="C412" s="6"/>
      <c r="D412" s="6"/>
      <c r="E412" s="6"/>
      <c r="F412" s="23">
        <f>F396+F411</f>
        <v>115.32255817959449</v>
      </c>
    </row>
    <row r="413" spans="2:6" x14ac:dyDescent="0.25">
      <c r="B413" s="7"/>
      <c r="C413" s="7"/>
      <c r="D413" s="7"/>
      <c r="E413" s="7"/>
      <c r="F413" s="7"/>
    </row>
    <row r="414" spans="2:6" x14ac:dyDescent="0.25">
      <c r="B414" s="13"/>
      <c r="C414" s="13"/>
      <c r="D414" s="13"/>
      <c r="E414" s="13"/>
      <c r="F414" s="13"/>
    </row>
    <row r="415" spans="2:6" x14ac:dyDescent="0.25">
      <c r="B415" s="13"/>
      <c r="C415" s="13"/>
      <c r="D415" s="13"/>
      <c r="E415" s="13"/>
      <c r="F415" s="13"/>
    </row>
    <row r="416" spans="2:6" x14ac:dyDescent="0.25">
      <c r="B416" s="39" t="s">
        <v>23</v>
      </c>
      <c r="C416" s="38"/>
      <c r="D416" s="13"/>
      <c r="E416" s="39" t="s">
        <v>24</v>
      </c>
      <c r="F416" s="38"/>
    </row>
    <row r="418" spans="2:6" ht="42" customHeight="1" x14ac:dyDescent="0.25">
      <c r="B418" s="37" t="s">
        <v>39</v>
      </c>
      <c r="C418" s="37"/>
      <c r="D418" s="37"/>
      <c r="E418" s="37"/>
      <c r="F418" s="37"/>
    </row>
    <row r="419" spans="2:6" ht="30" customHeight="1" x14ac:dyDescent="0.25">
      <c r="B419" s="37" t="s">
        <v>1</v>
      </c>
      <c r="C419" s="37"/>
      <c r="D419" s="37"/>
      <c r="E419" s="37"/>
      <c r="F419" s="37"/>
    </row>
    <row r="420" spans="2:6" x14ac:dyDescent="0.25">
      <c r="B420" s="14" t="s">
        <v>0</v>
      </c>
      <c r="C420" s="14"/>
      <c r="D420" s="14"/>
      <c r="E420" s="14"/>
      <c r="F420" s="14"/>
    </row>
    <row r="421" spans="2:6" x14ac:dyDescent="0.25">
      <c r="B421" s="12"/>
      <c r="C421" s="38" t="s">
        <v>25</v>
      </c>
      <c r="D421" s="38"/>
      <c r="E421" s="12">
        <v>651</v>
      </c>
      <c r="F421" s="12" t="s">
        <v>26</v>
      </c>
    </row>
    <row r="423" spans="2:6" ht="60" x14ac:dyDescent="0.25">
      <c r="B423" s="1" t="s">
        <v>2</v>
      </c>
      <c r="C423" s="1" t="s">
        <v>4</v>
      </c>
      <c r="D423" s="1" t="s">
        <v>3</v>
      </c>
      <c r="E423" s="1" t="s">
        <v>443</v>
      </c>
      <c r="F423" s="1" t="s">
        <v>5</v>
      </c>
    </row>
    <row r="424" spans="2:6" x14ac:dyDescent="0.25">
      <c r="B424" s="1"/>
      <c r="C424" s="1"/>
      <c r="D424" s="1"/>
      <c r="E424" s="1"/>
      <c r="F424" s="1"/>
    </row>
    <row r="425" spans="2:6" x14ac:dyDescent="0.25">
      <c r="B425" s="3" t="s">
        <v>6</v>
      </c>
      <c r="C425" s="1"/>
      <c r="D425" s="1"/>
      <c r="E425" s="1"/>
      <c r="F425" s="1"/>
    </row>
    <row r="426" spans="2:6" x14ac:dyDescent="0.25">
      <c r="B426" s="5" t="s">
        <v>7</v>
      </c>
      <c r="C426" s="1"/>
      <c r="D426" s="1"/>
      <c r="E426" s="1"/>
      <c r="F426" s="5">
        <v>2.0099999999999998</v>
      </c>
    </row>
    <row r="427" spans="2:6" x14ac:dyDescent="0.25">
      <c r="B427" s="5" t="s">
        <v>8</v>
      </c>
      <c r="C427" s="1"/>
      <c r="D427" s="1"/>
      <c r="E427" s="1"/>
      <c r="F427" s="5">
        <v>5.34</v>
      </c>
    </row>
    <row r="428" spans="2:6" ht="24.75" x14ac:dyDescent="0.25">
      <c r="B428" s="5" t="s">
        <v>11</v>
      </c>
      <c r="C428" s="1"/>
      <c r="D428" s="1"/>
      <c r="E428" s="1"/>
      <c r="F428" s="5">
        <v>0.55000000000000004</v>
      </c>
    </row>
    <row r="429" spans="2:6" ht="24.75" x14ac:dyDescent="0.25">
      <c r="B429" s="5" t="s">
        <v>12</v>
      </c>
      <c r="C429" s="1"/>
      <c r="D429" s="1"/>
      <c r="E429" s="1"/>
      <c r="F429" s="5">
        <v>0.53</v>
      </c>
    </row>
    <row r="430" spans="2:6" ht="24.75" x14ac:dyDescent="0.25">
      <c r="B430" s="5" t="s">
        <v>13</v>
      </c>
      <c r="C430" s="1"/>
      <c r="D430" s="1"/>
      <c r="E430" s="1"/>
      <c r="F430" s="5">
        <v>0.19</v>
      </c>
    </row>
    <row r="431" spans="2:6" ht="24.75" x14ac:dyDescent="0.25">
      <c r="B431" s="5" t="s">
        <v>14</v>
      </c>
      <c r="C431" s="1"/>
      <c r="D431" s="1"/>
      <c r="E431" s="1"/>
      <c r="F431" s="5">
        <v>1.25</v>
      </c>
    </row>
    <row r="432" spans="2:6" ht="24.75" x14ac:dyDescent="0.25">
      <c r="B432" s="5" t="s">
        <v>9</v>
      </c>
      <c r="C432" s="1"/>
      <c r="D432" s="1"/>
      <c r="E432" s="1"/>
      <c r="F432" s="5">
        <v>0.26</v>
      </c>
    </row>
    <row r="433" spans="2:6" ht="24.75" x14ac:dyDescent="0.25">
      <c r="B433" s="5" t="s">
        <v>15</v>
      </c>
      <c r="C433" s="1"/>
      <c r="D433" s="1"/>
      <c r="E433" s="1"/>
      <c r="F433" s="5">
        <v>0.27</v>
      </c>
    </row>
    <row r="434" spans="2:6" ht="24.75" x14ac:dyDescent="0.25">
      <c r="B434" s="5" t="s">
        <v>16</v>
      </c>
      <c r="C434" s="1"/>
      <c r="D434" s="1"/>
      <c r="E434" s="1"/>
      <c r="F434" s="5">
        <v>0.28999999999999998</v>
      </c>
    </row>
    <row r="435" spans="2:6" ht="24.75" x14ac:dyDescent="0.25">
      <c r="B435" s="5" t="s">
        <v>17</v>
      </c>
      <c r="C435" s="1"/>
      <c r="D435" s="1"/>
      <c r="E435" s="1"/>
      <c r="F435" s="5">
        <v>0.32</v>
      </c>
    </row>
    <row r="436" spans="2:6" x14ac:dyDescent="0.25">
      <c r="B436" s="5" t="s">
        <v>18</v>
      </c>
      <c r="C436" s="1"/>
      <c r="D436" s="1"/>
      <c r="E436" s="1"/>
      <c r="F436" s="5">
        <v>1.97</v>
      </c>
    </row>
    <row r="437" spans="2:6" x14ac:dyDescent="0.25">
      <c r="B437" s="5" t="s">
        <v>19</v>
      </c>
      <c r="C437" s="1"/>
      <c r="D437" s="1"/>
      <c r="E437" s="1"/>
      <c r="F437" s="5">
        <v>3.95</v>
      </c>
    </row>
    <row r="438" spans="2:6" x14ac:dyDescent="0.25">
      <c r="B438" s="10" t="s">
        <v>20</v>
      </c>
      <c r="C438" s="1"/>
      <c r="D438" s="1"/>
      <c r="E438" s="1"/>
      <c r="F438" s="4">
        <f>SUM(F426:F437)</f>
        <v>16.93</v>
      </c>
    </row>
    <row r="439" spans="2:6" x14ac:dyDescent="0.25">
      <c r="B439" s="3" t="s">
        <v>21</v>
      </c>
      <c r="C439" s="1"/>
      <c r="D439" s="1"/>
      <c r="E439" s="1"/>
      <c r="F439" s="1"/>
    </row>
    <row r="440" spans="2:6" x14ac:dyDescent="0.25">
      <c r="B440" s="1"/>
      <c r="C440" s="1"/>
      <c r="D440" s="1"/>
      <c r="E440" s="1"/>
      <c r="F440" s="24"/>
    </row>
    <row r="441" spans="2:6" x14ac:dyDescent="0.25">
      <c r="B441" s="1" t="s">
        <v>327</v>
      </c>
      <c r="C441" s="1" t="s">
        <v>261</v>
      </c>
      <c r="D441" s="1">
        <v>106</v>
      </c>
      <c r="E441" s="1">
        <v>106</v>
      </c>
      <c r="F441" s="24">
        <f t="shared" ref="F441:F452" si="11">E441/651*1000/12</f>
        <v>13.568868407578085</v>
      </c>
    </row>
    <row r="442" spans="2:6" x14ac:dyDescent="0.25">
      <c r="B442" s="1" t="s">
        <v>275</v>
      </c>
      <c r="C442" s="1" t="s">
        <v>26</v>
      </c>
      <c r="D442" s="1">
        <v>99</v>
      </c>
      <c r="E442" s="1">
        <v>148</v>
      </c>
      <c r="F442" s="24">
        <f t="shared" si="11"/>
        <v>18.945212493599591</v>
      </c>
    </row>
    <row r="443" spans="2:6" x14ac:dyDescent="0.25">
      <c r="B443" s="1" t="s">
        <v>330</v>
      </c>
      <c r="C443" s="1" t="s">
        <v>261</v>
      </c>
      <c r="D443" s="1">
        <v>20</v>
      </c>
      <c r="E443" s="1">
        <v>26</v>
      </c>
      <c r="F443" s="24">
        <f t="shared" si="11"/>
        <v>3.3282130056323602</v>
      </c>
    </row>
    <row r="444" spans="2:6" x14ac:dyDescent="0.25">
      <c r="B444" s="1" t="s">
        <v>319</v>
      </c>
      <c r="C444" s="1" t="s">
        <v>261</v>
      </c>
      <c r="D444" s="1">
        <v>5</v>
      </c>
      <c r="E444" s="1">
        <v>6.5</v>
      </c>
      <c r="F444" s="24">
        <f t="shared" si="11"/>
        <v>0.83205325140809006</v>
      </c>
    </row>
    <row r="445" spans="2:6" x14ac:dyDescent="0.25">
      <c r="B445" s="1" t="s">
        <v>320</v>
      </c>
      <c r="C445" s="1" t="s">
        <v>261</v>
      </c>
      <c r="D445" s="1">
        <v>5</v>
      </c>
      <c r="E445" s="1">
        <v>38</v>
      </c>
      <c r="F445" s="24">
        <f t="shared" si="11"/>
        <v>4.8643113159242191</v>
      </c>
    </row>
    <row r="446" spans="2:6" x14ac:dyDescent="0.25">
      <c r="B446" s="1" t="s">
        <v>325</v>
      </c>
      <c r="C446" s="1" t="s">
        <v>261</v>
      </c>
      <c r="D446" s="1">
        <v>26</v>
      </c>
      <c r="E446" s="1">
        <v>49.4</v>
      </c>
      <c r="F446" s="24">
        <f t="shared" si="11"/>
        <v>6.3236047107014848</v>
      </c>
    </row>
    <row r="447" spans="2:6" x14ac:dyDescent="0.25">
      <c r="B447" s="1" t="s">
        <v>322</v>
      </c>
      <c r="C447" s="1" t="s">
        <v>261</v>
      </c>
      <c r="D447" s="1">
        <v>170</v>
      </c>
      <c r="E447" s="1">
        <v>204</v>
      </c>
      <c r="F447" s="24">
        <f t="shared" si="11"/>
        <v>26.113671274961593</v>
      </c>
    </row>
    <row r="448" spans="2:6" x14ac:dyDescent="0.25">
      <c r="B448" s="1" t="s">
        <v>323</v>
      </c>
      <c r="C448" s="1" t="s">
        <v>261</v>
      </c>
      <c r="D448" s="1">
        <v>200</v>
      </c>
      <c r="E448" s="1">
        <v>200</v>
      </c>
      <c r="F448" s="24">
        <f t="shared" si="11"/>
        <v>25.601638504864312</v>
      </c>
    </row>
    <row r="449" spans="2:6" x14ac:dyDescent="0.25">
      <c r="B449" s="1" t="s">
        <v>446</v>
      </c>
      <c r="C449" s="1" t="s">
        <v>26</v>
      </c>
      <c r="D449" s="1">
        <v>13</v>
      </c>
      <c r="E449" s="1">
        <v>19.5</v>
      </c>
      <c r="F449" s="24">
        <f t="shared" si="11"/>
        <v>2.4961597542242702</v>
      </c>
    </row>
    <row r="450" spans="2:6" x14ac:dyDescent="0.25">
      <c r="B450" s="1"/>
      <c r="C450" s="1"/>
      <c r="D450" s="1"/>
      <c r="E450" s="1"/>
      <c r="F450" s="24">
        <f t="shared" si="11"/>
        <v>0</v>
      </c>
    </row>
    <row r="451" spans="2:6" x14ac:dyDescent="0.25">
      <c r="B451" s="1"/>
      <c r="C451" s="1"/>
      <c r="D451" s="1"/>
      <c r="E451" s="1"/>
      <c r="F451" s="24">
        <f t="shared" si="11"/>
        <v>0</v>
      </c>
    </row>
    <row r="452" spans="2:6" x14ac:dyDescent="0.25">
      <c r="B452" s="1"/>
      <c r="C452" s="1"/>
      <c r="D452" s="1"/>
      <c r="E452" s="1"/>
      <c r="F452" s="24">
        <f t="shared" si="11"/>
        <v>0</v>
      </c>
    </row>
    <row r="453" spans="2:6" x14ac:dyDescent="0.25">
      <c r="B453" s="10" t="s">
        <v>20</v>
      </c>
      <c r="C453" s="1"/>
      <c r="D453" s="1"/>
      <c r="E453" s="4">
        <f>SUM(E440:E452)</f>
        <v>797.4</v>
      </c>
      <c r="F453" s="22">
        <f>SUM(F440:F452)</f>
        <v>102.07373271889401</v>
      </c>
    </row>
    <row r="454" spans="2:6" x14ac:dyDescent="0.25">
      <c r="B454" s="4" t="s">
        <v>22</v>
      </c>
      <c r="C454" s="6"/>
      <c r="D454" s="6"/>
      <c r="E454" s="6"/>
      <c r="F454" s="23">
        <f>F438+F453</f>
        <v>119.00373271889401</v>
      </c>
    </row>
    <row r="455" spans="2:6" x14ac:dyDescent="0.25">
      <c r="B455" s="7"/>
      <c r="C455" s="7"/>
      <c r="D455" s="7"/>
      <c r="E455" s="7"/>
      <c r="F455" s="7"/>
    </row>
    <row r="456" spans="2:6" x14ac:dyDescent="0.25">
      <c r="B456" s="13"/>
      <c r="C456" s="13"/>
      <c r="D456" s="13"/>
      <c r="E456" s="13"/>
      <c r="F456" s="13"/>
    </row>
    <row r="457" spans="2:6" x14ac:dyDescent="0.25">
      <c r="B457" s="13"/>
      <c r="C457" s="13"/>
      <c r="D457" s="13"/>
      <c r="E457" s="13"/>
      <c r="F457" s="13"/>
    </row>
    <row r="458" spans="2:6" x14ac:dyDescent="0.25">
      <c r="B458" s="39" t="s">
        <v>23</v>
      </c>
      <c r="C458" s="38"/>
      <c r="D458" s="13"/>
      <c r="E458" s="39" t="s">
        <v>24</v>
      </c>
      <c r="F458" s="38"/>
    </row>
  </sheetData>
  <mergeCells count="55">
    <mergeCell ref="B85:F85"/>
    <mergeCell ref="B2:F2"/>
    <mergeCell ref="B3:F3"/>
    <mergeCell ref="C5:D5"/>
    <mergeCell ref="B42:C42"/>
    <mergeCell ref="E42:F42"/>
    <mergeCell ref="B44:F44"/>
    <mergeCell ref="B45:F45"/>
    <mergeCell ref="C47:D47"/>
    <mergeCell ref="B82:C82"/>
    <mergeCell ref="E82:F82"/>
    <mergeCell ref="B84:F84"/>
    <mergeCell ref="B206:C206"/>
    <mergeCell ref="E206:F206"/>
    <mergeCell ref="C87:D87"/>
    <mergeCell ref="B123:C123"/>
    <mergeCell ref="E123:F123"/>
    <mergeCell ref="B125:F125"/>
    <mergeCell ref="B126:F126"/>
    <mergeCell ref="C128:D128"/>
    <mergeCell ref="B164:C164"/>
    <mergeCell ref="E164:F164"/>
    <mergeCell ref="B166:F166"/>
    <mergeCell ref="B167:F167"/>
    <mergeCell ref="C169:D169"/>
    <mergeCell ref="B292:F292"/>
    <mergeCell ref="B208:F208"/>
    <mergeCell ref="B209:F209"/>
    <mergeCell ref="C211:D211"/>
    <mergeCell ref="B247:C247"/>
    <mergeCell ref="E247:F247"/>
    <mergeCell ref="B249:F249"/>
    <mergeCell ref="B250:F250"/>
    <mergeCell ref="C252:D252"/>
    <mergeCell ref="B288:C288"/>
    <mergeCell ref="E288:F288"/>
    <mergeCell ref="B291:F291"/>
    <mergeCell ref="B416:C416"/>
    <mergeCell ref="E416:F416"/>
    <mergeCell ref="C294:D294"/>
    <mergeCell ref="B331:C331"/>
    <mergeCell ref="E331:F331"/>
    <mergeCell ref="B333:F333"/>
    <mergeCell ref="B334:F334"/>
    <mergeCell ref="C336:D336"/>
    <mergeCell ref="B373:C373"/>
    <mergeCell ref="E373:F373"/>
    <mergeCell ref="B375:F375"/>
    <mergeCell ref="B376:F376"/>
    <mergeCell ref="C378:D378"/>
    <mergeCell ref="B418:F418"/>
    <mergeCell ref="B419:F419"/>
    <mergeCell ref="C421:D421"/>
    <mergeCell ref="B458:C458"/>
    <mergeCell ref="E458:F458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6"/>
  <sheetViews>
    <sheetView topLeftCell="A10" workbookViewId="0">
      <selection activeCell="E7" sqref="E7"/>
    </sheetView>
  </sheetViews>
  <sheetFormatPr defaultRowHeight="15" x14ac:dyDescent="0.25"/>
  <cols>
    <col min="2" max="2" width="37.7109375" customWidth="1"/>
    <col min="6" max="6" width="11.42578125" bestFit="1" customWidth="1"/>
  </cols>
  <sheetData>
    <row r="2" spans="2:6" ht="30" customHeight="1" x14ac:dyDescent="0.25">
      <c r="B2" s="37" t="s">
        <v>199</v>
      </c>
      <c r="C2" s="37"/>
      <c r="D2" s="37"/>
      <c r="E2" s="37"/>
      <c r="F2" s="37"/>
    </row>
    <row r="3" spans="2:6" ht="30.6" customHeight="1" x14ac:dyDescent="0.25">
      <c r="B3" s="37" t="s">
        <v>1</v>
      </c>
      <c r="C3" s="37"/>
      <c r="D3" s="37"/>
      <c r="E3" s="37"/>
      <c r="F3" s="37"/>
    </row>
    <row r="4" spans="2:6" x14ac:dyDescent="0.25">
      <c r="B4" s="16" t="s">
        <v>0</v>
      </c>
      <c r="C4" s="16"/>
      <c r="D4" s="16"/>
      <c r="E4" s="16"/>
      <c r="F4" s="16"/>
    </row>
    <row r="5" spans="2:6" x14ac:dyDescent="0.25">
      <c r="B5" s="17"/>
      <c r="C5" s="38" t="s">
        <v>25</v>
      </c>
      <c r="D5" s="38"/>
      <c r="E5" s="17">
        <v>404.1</v>
      </c>
      <c r="F5" s="17" t="s">
        <v>26</v>
      </c>
    </row>
    <row r="7" spans="2:6" ht="60" x14ac:dyDescent="0.25">
      <c r="B7" s="1" t="s">
        <v>2</v>
      </c>
      <c r="C7" s="1" t="s">
        <v>4</v>
      </c>
      <c r="D7" s="1" t="s">
        <v>3</v>
      </c>
      <c r="E7" s="1" t="s">
        <v>447</v>
      </c>
      <c r="F7" s="1" t="s">
        <v>5</v>
      </c>
    </row>
    <row r="8" spans="2:6" x14ac:dyDescent="0.25">
      <c r="B8" s="1"/>
      <c r="C8" s="1"/>
      <c r="D8" s="1"/>
      <c r="E8" s="1"/>
      <c r="F8" s="1"/>
    </row>
    <row r="9" spans="2:6" x14ac:dyDescent="0.25">
      <c r="B9" s="3" t="s">
        <v>6</v>
      </c>
      <c r="C9" s="1"/>
      <c r="D9" s="1"/>
      <c r="E9" s="1"/>
      <c r="F9" s="1"/>
    </row>
    <row r="10" spans="2:6" x14ac:dyDescent="0.25">
      <c r="B10" s="5" t="s">
        <v>7</v>
      </c>
      <c r="C10" s="1"/>
      <c r="D10" s="1"/>
      <c r="E10" s="1"/>
      <c r="F10" s="5">
        <v>2.0099999999999998</v>
      </c>
    </row>
    <row r="11" spans="2:6" x14ac:dyDescent="0.25">
      <c r="B11" s="5" t="s">
        <v>200</v>
      </c>
      <c r="C11" s="1"/>
      <c r="D11" s="1"/>
      <c r="E11" s="1"/>
      <c r="F11" s="5">
        <v>0.2</v>
      </c>
    </row>
    <row r="12" spans="2:6" ht="24.75" x14ac:dyDescent="0.25">
      <c r="B12" s="5" t="s">
        <v>9</v>
      </c>
      <c r="C12" s="1"/>
      <c r="D12" s="1"/>
      <c r="E12" s="1"/>
      <c r="F12" s="5">
        <v>0.3</v>
      </c>
    </row>
    <row r="13" spans="2:6" ht="24.75" x14ac:dyDescent="0.25">
      <c r="B13" s="5" t="s">
        <v>16</v>
      </c>
      <c r="C13" s="1"/>
      <c r="D13" s="1"/>
      <c r="E13" s="1"/>
      <c r="F13" s="5">
        <v>0.28999999999999998</v>
      </c>
    </row>
    <row r="14" spans="2:6" x14ac:dyDescent="0.25">
      <c r="B14" s="5" t="s">
        <v>17</v>
      </c>
      <c r="C14" s="1"/>
      <c r="D14" s="1"/>
      <c r="E14" s="1"/>
      <c r="F14" s="5">
        <v>0.32</v>
      </c>
    </row>
    <row r="15" spans="2:6" x14ac:dyDescent="0.25">
      <c r="B15" s="5" t="s">
        <v>19</v>
      </c>
      <c r="C15" s="1"/>
      <c r="D15" s="1"/>
      <c r="E15" s="1"/>
      <c r="F15" s="5">
        <v>3.95</v>
      </c>
    </row>
    <row r="16" spans="2:6" x14ac:dyDescent="0.25">
      <c r="B16" s="10" t="s">
        <v>20</v>
      </c>
      <c r="C16" s="1"/>
      <c r="D16" s="1"/>
      <c r="E16" s="1"/>
      <c r="F16" s="4">
        <f>SUM(F10:F15)</f>
        <v>7.07</v>
      </c>
    </row>
    <row r="17" spans="2:6" x14ac:dyDescent="0.25">
      <c r="B17" s="3" t="s">
        <v>21</v>
      </c>
      <c r="C17" s="1"/>
      <c r="D17" s="1"/>
      <c r="E17" s="1"/>
      <c r="F17" s="1"/>
    </row>
    <row r="18" spans="2:6" x14ac:dyDescent="0.25">
      <c r="B18" s="15" t="s">
        <v>269</v>
      </c>
      <c r="C18" s="1" t="s">
        <v>261</v>
      </c>
      <c r="D18" s="1">
        <v>6</v>
      </c>
      <c r="E18" s="1">
        <v>30</v>
      </c>
      <c r="F18" s="24">
        <f>E18/404.1*1000/12</f>
        <v>6.1865874783469437</v>
      </c>
    </row>
    <row r="19" spans="2:6" x14ac:dyDescent="0.25">
      <c r="B19" s="15" t="s">
        <v>253</v>
      </c>
      <c r="C19" s="1" t="s">
        <v>26</v>
      </c>
      <c r="D19" s="1">
        <v>20</v>
      </c>
      <c r="E19" s="1">
        <v>15</v>
      </c>
      <c r="F19" s="24">
        <f t="shared" ref="F19:F30" si="0">E19/404.1*1000/12</f>
        <v>3.0932937391734718</v>
      </c>
    </row>
    <row r="20" spans="2:6" x14ac:dyDescent="0.25">
      <c r="B20" s="15" t="s">
        <v>293</v>
      </c>
      <c r="C20" s="1" t="s">
        <v>26</v>
      </c>
      <c r="D20" s="1">
        <v>12</v>
      </c>
      <c r="E20" s="1">
        <v>6</v>
      </c>
      <c r="F20" s="24">
        <f t="shared" si="0"/>
        <v>1.2373174956693886</v>
      </c>
    </row>
    <row r="21" spans="2:6" x14ac:dyDescent="0.25">
      <c r="B21" s="15" t="s">
        <v>257</v>
      </c>
      <c r="C21" s="1" t="s">
        <v>26</v>
      </c>
      <c r="D21" s="1">
        <v>306</v>
      </c>
      <c r="E21" s="1">
        <v>370</v>
      </c>
      <c r="F21" s="24">
        <f t="shared" si="0"/>
        <v>76.301245566278965</v>
      </c>
    </row>
    <row r="22" spans="2:6" x14ac:dyDescent="0.25">
      <c r="B22" s="15" t="s">
        <v>255</v>
      </c>
      <c r="C22" s="1" t="s">
        <v>26</v>
      </c>
      <c r="D22" s="1">
        <v>8</v>
      </c>
      <c r="E22" s="1">
        <v>20</v>
      </c>
      <c r="F22" s="24">
        <f t="shared" si="0"/>
        <v>4.1243916522312949</v>
      </c>
    </row>
    <row r="23" spans="2:6" x14ac:dyDescent="0.25">
      <c r="B23" s="1"/>
      <c r="C23" s="1"/>
      <c r="D23" s="1"/>
      <c r="E23" s="1"/>
      <c r="F23" s="24">
        <f t="shared" si="0"/>
        <v>0</v>
      </c>
    </row>
    <row r="24" spans="2:6" x14ac:dyDescent="0.25">
      <c r="B24" s="1"/>
      <c r="C24" s="1"/>
      <c r="D24" s="1"/>
      <c r="E24" s="1"/>
      <c r="F24" s="24">
        <f t="shared" si="0"/>
        <v>0</v>
      </c>
    </row>
    <row r="25" spans="2:6" x14ac:dyDescent="0.25">
      <c r="B25" s="1"/>
      <c r="C25" s="1"/>
      <c r="D25" s="1"/>
      <c r="E25" s="1"/>
      <c r="F25" s="24">
        <f t="shared" si="0"/>
        <v>0</v>
      </c>
    </row>
    <row r="26" spans="2:6" x14ac:dyDescent="0.25">
      <c r="B26" s="1"/>
      <c r="C26" s="1"/>
      <c r="D26" s="1"/>
      <c r="E26" s="1"/>
      <c r="F26" s="24">
        <f t="shared" si="0"/>
        <v>0</v>
      </c>
    </row>
    <row r="27" spans="2:6" x14ac:dyDescent="0.25">
      <c r="B27" s="1"/>
      <c r="C27" s="1"/>
      <c r="D27" s="1"/>
      <c r="E27" s="1"/>
      <c r="F27" s="24">
        <f t="shared" si="0"/>
        <v>0</v>
      </c>
    </row>
    <row r="28" spans="2:6" x14ac:dyDescent="0.25">
      <c r="B28" s="1"/>
      <c r="C28" s="1"/>
      <c r="D28" s="1"/>
      <c r="E28" s="1"/>
      <c r="F28" s="24">
        <f t="shared" si="0"/>
        <v>0</v>
      </c>
    </row>
    <row r="29" spans="2:6" x14ac:dyDescent="0.25">
      <c r="B29" s="1"/>
      <c r="C29" s="1"/>
      <c r="D29" s="1"/>
      <c r="E29" s="1"/>
      <c r="F29" s="24">
        <f t="shared" si="0"/>
        <v>0</v>
      </c>
    </row>
    <row r="30" spans="2:6" x14ac:dyDescent="0.25">
      <c r="B30" s="1"/>
      <c r="C30" s="1"/>
      <c r="D30" s="1"/>
      <c r="E30" s="1"/>
      <c r="F30" s="24">
        <f t="shared" si="0"/>
        <v>0</v>
      </c>
    </row>
    <row r="31" spans="2:6" x14ac:dyDescent="0.25">
      <c r="B31" s="10" t="s">
        <v>20</v>
      </c>
      <c r="C31" s="1"/>
      <c r="D31" s="1"/>
      <c r="E31" s="4">
        <f>SUM(E18:E30)</f>
        <v>441</v>
      </c>
      <c r="F31" s="22">
        <f>SUM(F18:F30)</f>
        <v>90.94283593170006</v>
      </c>
    </row>
    <row r="32" spans="2:6" x14ac:dyDescent="0.25">
      <c r="B32" s="4" t="s">
        <v>22</v>
      </c>
      <c r="C32" s="6"/>
      <c r="D32" s="6"/>
      <c r="E32" s="6"/>
      <c r="F32" s="23">
        <f>F16+F31</f>
        <v>98.012835931700067</v>
      </c>
    </row>
    <row r="33" spans="2:6" x14ac:dyDescent="0.25">
      <c r="B33" s="7"/>
      <c r="C33" s="7"/>
      <c r="D33" s="7"/>
      <c r="E33" s="7"/>
      <c r="F33" s="7"/>
    </row>
    <row r="34" spans="2:6" x14ac:dyDescent="0.25">
      <c r="B34" s="18"/>
      <c r="C34" s="18"/>
      <c r="D34" s="18"/>
      <c r="E34" s="18"/>
      <c r="F34" s="18"/>
    </row>
    <row r="35" spans="2:6" x14ac:dyDescent="0.25">
      <c r="B35" s="18"/>
      <c r="C35" s="18"/>
      <c r="D35" s="18"/>
      <c r="E35" s="18"/>
      <c r="F35" s="18"/>
    </row>
    <row r="36" spans="2:6" x14ac:dyDescent="0.25">
      <c r="B36" s="39" t="s">
        <v>23</v>
      </c>
      <c r="C36" s="38"/>
      <c r="D36" s="38"/>
      <c r="E36" s="39" t="s">
        <v>24</v>
      </c>
      <c r="F36" s="38"/>
    </row>
  </sheetData>
  <mergeCells count="5">
    <mergeCell ref="B2:F2"/>
    <mergeCell ref="B3:F3"/>
    <mergeCell ref="C5:D5"/>
    <mergeCell ref="B36:D36"/>
    <mergeCell ref="E36:F3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3"/>
  <sheetViews>
    <sheetView topLeftCell="A70" workbookViewId="0">
      <selection activeCell="E48" sqref="E48"/>
    </sheetView>
  </sheetViews>
  <sheetFormatPr defaultRowHeight="15" x14ac:dyDescent="0.25"/>
  <cols>
    <col min="2" max="2" width="37.28515625" customWidth="1"/>
    <col min="6" max="6" width="11.42578125" bestFit="1" customWidth="1"/>
  </cols>
  <sheetData>
    <row r="2" spans="2:6" ht="36.6" customHeight="1" x14ac:dyDescent="0.25">
      <c r="B2" s="37" t="s">
        <v>201</v>
      </c>
      <c r="C2" s="37"/>
      <c r="D2" s="37"/>
      <c r="E2" s="37"/>
      <c r="F2" s="37"/>
    </row>
    <row r="3" spans="2:6" ht="30" customHeight="1" x14ac:dyDescent="0.25">
      <c r="B3" s="37" t="s">
        <v>1</v>
      </c>
      <c r="C3" s="37"/>
      <c r="D3" s="37"/>
      <c r="E3" s="37"/>
      <c r="F3" s="37"/>
    </row>
    <row r="4" spans="2:6" x14ac:dyDescent="0.25">
      <c r="B4" s="16" t="s">
        <v>0</v>
      </c>
      <c r="C4" s="16"/>
      <c r="D4" s="16"/>
      <c r="E4" s="16"/>
      <c r="F4" s="16"/>
    </row>
    <row r="5" spans="2:6" x14ac:dyDescent="0.25">
      <c r="B5" s="17"/>
      <c r="C5" s="38" t="s">
        <v>25</v>
      </c>
      <c r="D5" s="38"/>
      <c r="E5" s="17">
        <v>720.9</v>
      </c>
      <c r="F5" s="17" t="s">
        <v>26</v>
      </c>
    </row>
    <row r="7" spans="2:6" ht="60" x14ac:dyDescent="0.25">
      <c r="B7" s="1" t="s">
        <v>2</v>
      </c>
      <c r="C7" s="1" t="s">
        <v>4</v>
      </c>
      <c r="D7" s="1" t="s">
        <v>3</v>
      </c>
      <c r="E7" s="1" t="s">
        <v>447</v>
      </c>
      <c r="F7" s="1" t="s">
        <v>5</v>
      </c>
    </row>
    <row r="8" spans="2:6" x14ac:dyDescent="0.25">
      <c r="B8" s="1"/>
      <c r="C8" s="1"/>
      <c r="D8" s="1"/>
      <c r="E8" s="1"/>
      <c r="F8" s="1"/>
    </row>
    <row r="9" spans="2:6" x14ac:dyDescent="0.25">
      <c r="B9" s="3" t="s">
        <v>6</v>
      </c>
      <c r="C9" s="1"/>
      <c r="D9" s="1"/>
      <c r="E9" s="1"/>
      <c r="F9" s="1"/>
    </row>
    <row r="10" spans="2:6" x14ac:dyDescent="0.25">
      <c r="B10" s="5" t="s">
        <v>7</v>
      </c>
      <c r="C10" s="1"/>
      <c r="D10" s="1"/>
      <c r="E10" s="1"/>
      <c r="F10" s="5">
        <v>2.0099999999999998</v>
      </c>
    </row>
    <row r="11" spans="2:6" x14ac:dyDescent="0.25">
      <c r="B11" s="5" t="s">
        <v>8</v>
      </c>
      <c r="C11" s="1"/>
      <c r="D11" s="1"/>
      <c r="E11" s="1"/>
      <c r="F11" s="5">
        <v>5.34</v>
      </c>
    </row>
    <row r="12" spans="2:6" ht="24.75" x14ac:dyDescent="0.25">
      <c r="B12" s="5" t="s">
        <v>11</v>
      </c>
      <c r="C12" s="1"/>
      <c r="D12" s="1"/>
      <c r="E12" s="1"/>
      <c r="F12" s="5">
        <v>0.55000000000000004</v>
      </c>
    </row>
    <row r="13" spans="2:6" ht="24.75" x14ac:dyDescent="0.25">
      <c r="B13" s="5" t="s">
        <v>12</v>
      </c>
      <c r="C13" s="1"/>
      <c r="D13" s="1"/>
      <c r="E13" s="1"/>
      <c r="F13" s="5">
        <v>0.53</v>
      </c>
    </row>
    <row r="14" spans="2:6" ht="24.75" x14ac:dyDescent="0.25">
      <c r="B14" s="5" t="s">
        <v>13</v>
      </c>
      <c r="C14" s="1"/>
      <c r="D14" s="1"/>
      <c r="E14" s="1"/>
      <c r="F14" s="5">
        <v>0.19</v>
      </c>
    </row>
    <row r="15" spans="2:6" ht="24.75" x14ac:dyDescent="0.25">
      <c r="B15" s="5" t="s">
        <v>14</v>
      </c>
      <c r="C15" s="1"/>
      <c r="D15" s="1"/>
      <c r="E15" s="1"/>
      <c r="F15" s="5">
        <v>1.25</v>
      </c>
    </row>
    <row r="16" spans="2:6" ht="24.75" x14ac:dyDescent="0.25">
      <c r="B16" s="5" t="s">
        <v>9</v>
      </c>
      <c r="C16" s="1"/>
      <c r="D16" s="1"/>
      <c r="E16" s="1"/>
      <c r="F16" s="5">
        <v>0.26</v>
      </c>
    </row>
    <row r="17" spans="2:6" ht="24.75" x14ac:dyDescent="0.25">
      <c r="B17" s="5" t="s">
        <v>15</v>
      </c>
      <c r="C17" s="1"/>
      <c r="D17" s="1"/>
      <c r="E17" s="1"/>
      <c r="F17" s="5">
        <v>0.27</v>
      </c>
    </row>
    <row r="18" spans="2:6" ht="24.75" x14ac:dyDescent="0.25">
      <c r="B18" s="5" t="s">
        <v>16</v>
      </c>
      <c r="C18" s="1"/>
      <c r="D18" s="1"/>
      <c r="E18" s="1"/>
      <c r="F18" s="5">
        <v>0.28999999999999998</v>
      </c>
    </row>
    <row r="19" spans="2:6" x14ac:dyDescent="0.25">
      <c r="B19" s="5" t="s">
        <v>17</v>
      </c>
      <c r="C19" s="1"/>
      <c r="D19" s="1"/>
      <c r="E19" s="1"/>
      <c r="F19" s="5">
        <v>0.32</v>
      </c>
    </row>
    <row r="20" spans="2:6" x14ac:dyDescent="0.25">
      <c r="B20" s="5" t="s">
        <v>18</v>
      </c>
      <c r="C20" s="1"/>
      <c r="D20" s="1"/>
      <c r="E20" s="1"/>
      <c r="F20" s="5">
        <v>1.97</v>
      </c>
    </row>
    <row r="21" spans="2:6" x14ac:dyDescent="0.25">
      <c r="B21" s="5" t="s">
        <v>19</v>
      </c>
      <c r="C21" s="1"/>
      <c r="D21" s="1"/>
      <c r="E21" s="1"/>
      <c r="F21" s="5">
        <v>3.51</v>
      </c>
    </row>
    <row r="22" spans="2:6" x14ac:dyDescent="0.25">
      <c r="B22" s="10" t="s">
        <v>20</v>
      </c>
      <c r="C22" s="1"/>
      <c r="D22" s="1"/>
      <c r="E22" s="1"/>
      <c r="F22" s="4">
        <f>SUM(F10:F21)</f>
        <v>16.489999999999998</v>
      </c>
    </row>
    <row r="23" spans="2:6" x14ac:dyDescent="0.25">
      <c r="B23" s="3" t="s">
        <v>21</v>
      </c>
      <c r="C23" s="1"/>
      <c r="D23" s="1"/>
      <c r="E23" s="1"/>
      <c r="F23" s="1"/>
    </row>
    <row r="24" spans="2:6" x14ac:dyDescent="0.25">
      <c r="B24" s="15" t="s">
        <v>269</v>
      </c>
      <c r="C24" s="1" t="s">
        <v>261</v>
      </c>
      <c r="D24" s="1">
        <v>4</v>
      </c>
      <c r="E24" s="1">
        <v>20</v>
      </c>
      <c r="F24" s="24">
        <f>E24/720.9*1000/12</f>
        <v>2.3119249086789662</v>
      </c>
    </row>
    <row r="25" spans="2:6" x14ac:dyDescent="0.25">
      <c r="B25" s="26" t="s">
        <v>283</v>
      </c>
      <c r="C25" s="1" t="s">
        <v>26</v>
      </c>
      <c r="D25" s="1">
        <v>4.4000000000000004</v>
      </c>
      <c r="E25" s="1">
        <v>8</v>
      </c>
      <c r="F25" s="24">
        <f t="shared" ref="F25:F35" si="0">E25/720.9*1000/12</f>
        <v>0.92476996347158646</v>
      </c>
    </row>
    <row r="26" spans="2:6" x14ac:dyDescent="0.25">
      <c r="B26" s="1"/>
      <c r="C26" s="1"/>
      <c r="D26" s="1"/>
      <c r="E26" s="1"/>
      <c r="F26" s="24">
        <f t="shared" si="0"/>
        <v>0</v>
      </c>
    </row>
    <row r="27" spans="2:6" x14ac:dyDescent="0.25">
      <c r="B27" s="1"/>
      <c r="C27" s="1"/>
      <c r="D27" s="1"/>
      <c r="E27" s="1"/>
      <c r="F27" s="24">
        <f t="shared" si="0"/>
        <v>0</v>
      </c>
    </row>
    <row r="28" spans="2:6" x14ac:dyDescent="0.25">
      <c r="B28" s="1"/>
      <c r="C28" s="1"/>
      <c r="D28" s="1"/>
      <c r="E28" s="1"/>
      <c r="F28" s="24">
        <f t="shared" si="0"/>
        <v>0</v>
      </c>
    </row>
    <row r="29" spans="2:6" x14ac:dyDescent="0.25">
      <c r="B29" s="1"/>
      <c r="C29" s="1"/>
      <c r="D29" s="1"/>
      <c r="E29" s="1"/>
      <c r="F29" s="24">
        <f t="shared" si="0"/>
        <v>0</v>
      </c>
    </row>
    <row r="30" spans="2:6" x14ac:dyDescent="0.25">
      <c r="B30" s="1"/>
      <c r="C30" s="1"/>
      <c r="D30" s="1"/>
      <c r="E30" s="1"/>
      <c r="F30" s="24">
        <f t="shared" si="0"/>
        <v>0</v>
      </c>
    </row>
    <row r="31" spans="2:6" x14ac:dyDescent="0.25">
      <c r="B31" s="1"/>
      <c r="C31" s="1"/>
      <c r="D31" s="1"/>
      <c r="E31" s="1"/>
      <c r="F31" s="24">
        <f t="shared" si="0"/>
        <v>0</v>
      </c>
    </row>
    <row r="32" spans="2:6" x14ac:dyDescent="0.25">
      <c r="B32" s="1"/>
      <c r="C32" s="1"/>
      <c r="D32" s="1"/>
      <c r="E32" s="1"/>
      <c r="F32" s="24">
        <f t="shared" si="0"/>
        <v>0</v>
      </c>
    </row>
    <row r="33" spans="2:6" x14ac:dyDescent="0.25">
      <c r="B33" s="1"/>
      <c r="C33" s="1"/>
      <c r="D33" s="1"/>
      <c r="E33" s="1"/>
      <c r="F33" s="24">
        <f t="shared" si="0"/>
        <v>0</v>
      </c>
    </row>
    <row r="34" spans="2:6" x14ac:dyDescent="0.25">
      <c r="B34" s="1"/>
      <c r="C34" s="1"/>
      <c r="D34" s="1"/>
      <c r="E34" s="1"/>
      <c r="F34" s="24">
        <f t="shared" si="0"/>
        <v>0</v>
      </c>
    </row>
    <row r="35" spans="2:6" x14ac:dyDescent="0.25">
      <c r="B35" s="1"/>
      <c r="C35" s="1"/>
      <c r="D35" s="1"/>
      <c r="E35" s="1"/>
      <c r="F35" s="24">
        <f t="shared" si="0"/>
        <v>0</v>
      </c>
    </row>
    <row r="36" spans="2:6" x14ac:dyDescent="0.25">
      <c r="B36" s="10" t="s">
        <v>20</v>
      </c>
      <c r="C36" s="1"/>
      <c r="D36" s="1"/>
      <c r="E36" s="4">
        <f>SUM(E24:E35)</f>
        <v>28</v>
      </c>
      <c r="F36" s="22">
        <f>SUM(F24:F35)</f>
        <v>3.2366948721505526</v>
      </c>
    </row>
    <row r="37" spans="2:6" x14ac:dyDescent="0.25">
      <c r="B37" s="4" t="s">
        <v>22</v>
      </c>
      <c r="C37" s="6"/>
      <c r="D37" s="6"/>
      <c r="E37" s="6"/>
      <c r="F37" s="23">
        <f>F22+F36</f>
        <v>19.726694872150553</v>
      </c>
    </row>
    <row r="38" spans="2:6" x14ac:dyDescent="0.25">
      <c r="B38" s="7"/>
      <c r="C38" s="7"/>
      <c r="D38" s="7"/>
      <c r="E38" s="7"/>
      <c r="F38" s="7"/>
    </row>
    <row r="39" spans="2:6" x14ac:dyDescent="0.25">
      <c r="B39" s="18"/>
      <c r="C39" s="18"/>
      <c r="D39" s="18"/>
      <c r="E39" s="18"/>
      <c r="F39" s="18"/>
    </row>
    <row r="40" spans="2:6" x14ac:dyDescent="0.25">
      <c r="B40" s="18"/>
      <c r="C40" s="18"/>
      <c r="D40" s="18"/>
      <c r="E40" s="18"/>
      <c r="F40" s="18"/>
    </row>
    <row r="41" spans="2:6" x14ac:dyDescent="0.25">
      <c r="B41" s="39" t="s">
        <v>23</v>
      </c>
      <c r="C41" s="38"/>
      <c r="D41" s="38"/>
      <c r="E41" s="39" t="s">
        <v>24</v>
      </c>
      <c r="F41" s="38"/>
    </row>
    <row r="43" spans="2:6" ht="31.9" customHeight="1" x14ac:dyDescent="0.25">
      <c r="B43" s="37" t="s">
        <v>202</v>
      </c>
      <c r="C43" s="37"/>
      <c r="D43" s="37"/>
      <c r="E43" s="37"/>
      <c r="F43" s="37"/>
    </row>
    <row r="44" spans="2:6" ht="34.15" customHeight="1" x14ac:dyDescent="0.25">
      <c r="B44" s="37" t="s">
        <v>1</v>
      </c>
      <c r="C44" s="37"/>
      <c r="D44" s="37"/>
      <c r="E44" s="37"/>
      <c r="F44" s="37"/>
    </row>
    <row r="45" spans="2:6" x14ac:dyDescent="0.25">
      <c r="B45" s="16" t="s">
        <v>0</v>
      </c>
      <c r="C45" s="16"/>
      <c r="D45" s="16"/>
      <c r="E45" s="16"/>
      <c r="F45" s="16"/>
    </row>
    <row r="46" spans="2:6" x14ac:dyDescent="0.25">
      <c r="B46" s="17"/>
      <c r="C46" s="38" t="s">
        <v>25</v>
      </c>
      <c r="D46" s="38"/>
      <c r="E46" s="17">
        <v>908.7</v>
      </c>
      <c r="F46" s="17" t="s">
        <v>26</v>
      </c>
    </row>
    <row r="48" spans="2:6" ht="60" x14ac:dyDescent="0.25">
      <c r="B48" s="1" t="s">
        <v>2</v>
      </c>
      <c r="C48" s="1" t="s">
        <v>4</v>
      </c>
      <c r="D48" s="1" t="s">
        <v>3</v>
      </c>
      <c r="E48" s="1" t="s">
        <v>447</v>
      </c>
      <c r="F48" s="1" t="s">
        <v>5</v>
      </c>
    </row>
    <row r="49" spans="2:6" x14ac:dyDescent="0.25">
      <c r="B49" s="1"/>
      <c r="C49" s="1"/>
      <c r="D49" s="1"/>
      <c r="E49" s="1"/>
      <c r="F49" s="1"/>
    </row>
    <row r="50" spans="2:6" x14ac:dyDescent="0.25">
      <c r="B50" s="3" t="s">
        <v>6</v>
      </c>
      <c r="C50" s="1"/>
      <c r="D50" s="1"/>
      <c r="E50" s="1"/>
      <c r="F50" s="1"/>
    </row>
    <row r="51" spans="2:6" x14ac:dyDescent="0.25">
      <c r="B51" s="5" t="s">
        <v>7</v>
      </c>
      <c r="C51" s="1"/>
      <c r="D51" s="1"/>
      <c r="E51" s="1"/>
      <c r="F51" s="5">
        <v>2.0099999999999998</v>
      </c>
    </row>
    <row r="52" spans="2:6" x14ac:dyDescent="0.25">
      <c r="B52" s="5" t="s">
        <v>8</v>
      </c>
      <c r="C52" s="1"/>
      <c r="D52" s="1"/>
      <c r="E52" s="1"/>
      <c r="F52" s="5">
        <v>5.34</v>
      </c>
    </row>
    <row r="53" spans="2:6" x14ac:dyDescent="0.25">
      <c r="B53" s="15" t="s">
        <v>30</v>
      </c>
      <c r="C53" s="1"/>
      <c r="D53" s="1"/>
      <c r="E53" s="1"/>
      <c r="F53" s="5">
        <v>0.06</v>
      </c>
    </row>
    <row r="54" spans="2:6" ht="24.75" x14ac:dyDescent="0.25">
      <c r="B54" s="5" t="s">
        <v>11</v>
      </c>
      <c r="C54" s="1"/>
      <c r="D54" s="1"/>
      <c r="E54" s="1"/>
      <c r="F54" s="5">
        <v>0.55000000000000004</v>
      </c>
    </row>
    <row r="55" spans="2:6" ht="24.75" x14ac:dyDescent="0.25">
      <c r="B55" s="5" t="s">
        <v>12</v>
      </c>
      <c r="C55" s="1"/>
      <c r="D55" s="1"/>
      <c r="E55" s="1"/>
      <c r="F55" s="5">
        <v>0.53</v>
      </c>
    </row>
    <row r="56" spans="2:6" ht="24.75" x14ac:dyDescent="0.25">
      <c r="B56" s="5" t="s">
        <v>13</v>
      </c>
      <c r="C56" s="1"/>
      <c r="D56" s="1"/>
      <c r="E56" s="1"/>
      <c r="F56" s="5">
        <v>0.19</v>
      </c>
    </row>
    <row r="57" spans="2:6" ht="24.75" x14ac:dyDescent="0.25">
      <c r="B57" s="5" t="s">
        <v>14</v>
      </c>
      <c r="C57" s="1"/>
      <c r="D57" s="1"/>
      <c r="E57" s="1"/>
      <c r="F57" s="5">
        <v>1.25</v>
      </c>
    </row>
    <row r="58" spans="2:6" ht="24.75" x14ac:dyDescent="0.25">
      <c r="B58" s="5" t="s">
        <v>9</v>
      </c>
      <c r="C58" s="1"/>
      <c r="D58" s="1"/>
      <c r="E58" s="1"/>
      <c r="F58" s="5">
        <v>0.26</v>
      </c>
    </row>
    <row r="59" spans="2:6" ht="24.75" x14ac:dyDescent="0.25">
      <c r="B59" s="5" t="s">
        <v>15</v>
      </c>
      <c r="C59" s="1"/>
      <c r="D59" s="1"/>
      <c r="E59" s="1"/>
      <c r="F59" s="5">
        <v>0.27</v>
      </c>
    </row>
    <row r="60" spans="2:6" ht="24.75" x14ac:dyDescent="0.25">
      <c r="B60" s="5" t="s">
        <v>16</v>
      </c>
      <c r="C60" s="1"/>
      <c r="D60" s="1"/>
      <c r="E60" s="1"/>
      <c r="F60" s="5">
        <v>0.28999999999999998</v>
      </c>
    </row>
    <row r="61" spans="2:6" x14ac:dyDescent="0.25">
      <c r="B61" s="5" t="s">
        <v>17</v>
      </c>
      <c r="C61" s="1"/>
      <c r="D61" s="1"/>
      <c r="E61" s="1"/>
      <c r="F61" s="5">
        <v>0.32</v>
      </c>
    </row>
    <row r="62" spans="2:6" x14ac:dyDescent="0.25">
      <c r="B62" s="5" t="s">
        <v>18</v>
      </c>
      <c r="C62" s="1"/>
      <c r="D62" s="1"/>
      <c r="E62" s="1"/>
      <c r="F62" s="5">
        <v>1.97</v>
      </c>
    </row>
    <row r="63" spans="2:6" x14ac:dyDescent="0.25">
      <c r="B63" s="5" t="s">
        <v>19</v>
      </c>
      <c r="C63" s="1"/>
      <c r="D63" s="1"/>
      <c r="E63" s="1"/>
      <c r="F63" s="5">
        <v>3.51</v>
      </c>
    </row>
    <row r="64" spans="2:6" x14ac:dyDescent="0.25">
      <c r="B64" s="10" t="s">
        <v>20</v>
      </c>
      <c r="C64" s="1"/>
      <c r="D64" s="1"/>
      <c r="E64" s="1"/>
      <c r="F64" s="4">
        <f>SUM(F51:F63)</f>
        <v>16.549999999999997</v>
      </c>
    </row>
    <row r="65" spans="2:6" x14ac:dyDescent="0.25">
      <c r="B65" s="3" t="s">
        <v>21</v>
      </c>
      <c r="C65" s="1"/>
      <c r="D65" s="1"/>
      <c r="E65" s="1"/>
      <c r="F65" s="1"/>
    </row>
    <row r="66" spans="2:6" x14ac:dyDescent="0.25">
      <c r="B66" s="15" t="s">
        <v>284</v>
      </c>
      <c r="C66" s="1" t="s">
        <v>265</v>
      </c>
      <c r="D66" s="1">
        <v>1</v>
      </c>
      <c r="E66" s="1">
        <v>15</v>
      </c>
      <c r="F66" s="24">
        <f>E66/908.7*1000/12</f>
        <v>1.3755915043468692</v>
      </c>
    </row>
    <row r="67" spans="2:6" x14ac:dyDescent="0.25">
      <c r="B67" s="15" t="s">
        <v>285</v>
      </c>
      <c r="C67" s="1" t="s">
        <v>265</v>
      </c>
      <c r="D67" s="1">
        <v>1</v>
      </c>
      <c r="E67" s="1">
        <v>10</v>
      </c>
      <c r="F67" s="24">
        <f t="shared" ref="F67:F77" si="1">E67/908.7*1000/12</f>
        <v>0.91706100289791281</v>
      </c>
    </row>
    <row r="68" spans="2:6" x14ac:dyDescent="0.25">
      <c r="B68" s="15" t="s">
        <v>253</v>
      </c>
      <c r="C68" s="1" t="s">
        <v>26</v>
      </c>
      <c r="D68" s="1">
        <v>40</v>
      </c>
      <c r="E68" s="1">
        <v>30</v>
      </c>
      <c r="F68" s="24">
        <f t="shared" si="1"/>
        <v>2.7511830086937383</v>
      </c>
    </row>
    <row r="69" spans="2:6" x14ac:dyDescent="0.25">
      <c r="B69" s="15" t="s">
        <v>254</v>
      </c>
      <c r="C69" s="1" t="s">
        <v>26</v>
      </c>
      <c r="D69" s="1">
        <v>60</v>
      </c>
      <c r="E69" s="1">
        <v>36</v>
      </c>
      <c r="F69" s="24">
        <f t="shared" si="1"/>
        <v>3.3014196104324856</v>
      </c>
    </row>
    <row r="70" spans="2:6" x14ac:dyDescent="0.25">
      <c r="B70" s="26" t="s">
        <v>316</v>
      </c>
      <c r="C70" s="1" t="s">
        <v>261</v>
      </c>
      <c r="D70" s="1">
        <v>26</v>
      </c>
      <c r="E70" s="1">
        <v>31.2</v>
      </c>
      <c r="F70" s="24">
        <f t="shared" si="1"/>
        <v>2.8612303290414878</v>
      </c>
    </row>
    <row r="71" spans="2:6" x14ac:dyDescent="0.25">
      <c r="B71" s="1"/>
      <c r="C71" s="1"/>
      <c r="D71" s="1"/>
      <c r="E71" s="1"/>
      <c r="F71" s="24">
        <f t="shared" si="1"/>
        <v>0</v>
      </c>
    </row>
    <row r="72" spans="2:6" x14ac:dyDescent="0.25">
      <c r="B72" s="1"/>
      <c r="C72" s="1"/>
      <c r="D72" s="1"/>
      <c r="E72" s="1"/>
      <c r="F72" s="24">
        <f t="shared" si="1"/>
        <v>0</v>
      </c>
    </row>
    <row r="73" spans="2:6" x14ac:dyDescent="0.25">
      <c r="B73" s="1"/>
      <c r="C73" s="1"/>
      <c r="D73" s="1"/>
      <c r="E73" s="1"/>
      <c r="F73" s="24">
        <f t="shared" si="1"/>
        <v>0</v>
      </c>
    </row>
    <row r="74" spans="2:6" x14ac:dyDescent="0.25">
      <c r="B74" s="1"/>
      <c r="C74" s="1"/>
      <c r="D74" s="1"/>
      <c r="E74" s="1"/>
      <c r="F74" s="24">
        <f t="shared" si="1"/>
        <v>0</v>
      </c>
    </row>
    <row r="75" spans="2:6" x14ac:dyDescent="0.25">
      <c r="B75" s="1"/>
      <c r="C75" s="1"/>
      <c r="D75" s="1"/>
      <c r="E75" s="1"/>
      <c r="F75" s="24">
        <f t="shared" si="1"/>
        <v>0</v>
      </c>
    </row>
    <row r="76" spans="2:6" x14ac:dyDescent="0.25">
      <c r="B76" s="1"/>
      <c r="C76" s="1"/>
      <c r="D76" s="1"/>
      <c r="E76" s="1"/>
      <c r="F76" s="24">
        <f t="shared" si="1"/>
        <v>0</v>
      </c>
    </row>
    <row r="77" spans="2:6" x14ac:dyDescent="0.25">
      <c r="B77" s="1"/>
      <c r="C77" s="1"/>
      <c r="D77" s="1"/>
      <c r="E77" s="1"/>
      <c r="F77" s="24">
        <f t="shared" si="1"/>
        <v>0</v>
      </c>
    </row>
    <row r="78" spans="2:6" x14ac:dyDescent="0.25">
      <c r="B78" s="10" t="s">
        <v>20</v>
      </c>
      <c r="C78" s="1"/>
      <c r="D78" s="1"/>
      <c r="E78" s="4">
        <f>SUM(E66:E77)</f>
        <v>122.2</v>
      </c>
      <c r="F78" s="22">
        <f>SUM(F66:F77)</f>
        <v>11.206485455412494</v>
      </c>
    </row>
    <row r="79" spans="2:6" x14ac:dyDescent="0.25">
      <c r="B79" s="4" t="s">
        <v>22</v>
      </c>
      <c r="C79" s="6"/>
      <c r="D79" s="6"/>
      <c r="E79" s="6"/>
      <c r="F79" s="23">
        <f>F64+F78</f>
        <v>27.756485455412491</v>
      </c>
    </row>
    <row r="80" spans="2:6" x14ac:dyDescent="0.25">
      <c r="B80" s="7"/>
      <c r="C80" s="7"/>
      <c r="D80" s="7"/>
      <c r="E80" s="7"/>
      <c r="F80" s="7"/>
    </row>
    <row r="81" spans="2:6" x14ac:dyDescent="0.25">
      <c r="B81" s="18"/>
      <c r="C81" s="18"/>
      <c r="D81" s="18"/>
      <c r="E81" s="18"/>
      <c r="F81" s="18"/>
    </row>
    <row r="82" spans="2:6" x14ac:dyDescent="0.25">
      <c r="B82" s="18"/>
      <c r="C82" s="18"/>
      <c r="D82" s="18"/>
      <c r="E82" s="18"/>
      <c r="F82" s="18"/>
    </row>
    <row r="83" spans="2:6" x14ac:dyDescent="0.25">
      <c r="B83" s="39" t="s">
        <v>23</v>
      </c>
      <c r="C83" s="38"/>
      <c r="D83" s="38"/>
      <c r="E83" s="39" t="s">
        <v>24</v>
      </c>
      <c r="F83" s="38"/>
    </row>
  </sheetData>
  <mergeCells count="10">
    <mergeCell ref="B44:F44"/>
    <mergeCell ref="C46:D46"/>
    <mergeCell ref="B83:D83"/>
    <mergeCell ref="E83:F83"/>
    <mergeCell ref="B2:F2"/>
    <mergeCell ref="B3:F3"/>
    <mergeCell ref="C5:D5"/>
    <mergeCell ref="B41:D41"/>
    <mergeCell ref="E41:F41"/>
    <mergeCell ref="B43:F4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6"/>
  <sheetViews>
    <sheetView topLeftCell="A151" workbookViewId="0">
      <selection activeCell="E122" sqref="E122"/>
    </sheetView>
  </sheetViews>
  <sheetFormatPr defaultRowHeight="15" x14ac:dyDescent="0.25"/>
  <cols>
    <col min="2" max="2" width="44.7109375" customWidth="1"/>
    <col min="6" max="6" width="11.42578125" bestFit="1" customWidth="1"/>
  </cols>
  <sheetData>
    <row r="1" spans="2:6" ht="31.15" customHeight="1" x14ac:dyDescent="0.25">
      <c r="B1" s="37" t="s">
        <v>203</v>
      </c>
      <c r="C1" s="37"/>
      <c r="D1" s="37"/>
      <c r="E1" s="37"/>
      <c r="F1" s="37"/>
    </row>
    <row r="2" spans="2:6" ht="31.15" customHeight="1" x14ac:dyDescent="0.25">
      <c r="B2" s="37" t="s">
        <v>1</v>
      </c>
      <c r="C2" s="37"/>
      <c r="D2" s="37"/>
      <c r="E2" s="37"/>
      <c r="F2" s="37"/>
    </row>
    <row r="3" spans="2:6" x14ac:dyDescent="0.25">
      <c r="B3" s="16" t="s">
        <v>0</v>
      </c>
      <c r="C3" s="16"/>
      <c r="D3" s="16"/>
      <c r="E3" s="16"/>
      <c r="F3" s="16"/>
    </row>
    <row r="4" spans="2:6" x14ac:dyDescent="0.25">
      <c r="B4" s="17"/>
      <c r="C4" s="38" t="s">
        <v>25</v>
      </c>
      <c r="D4" s="38"/>
      <c r="E4" s="17">
        <v>156.19999999999999</v>
      </c>
      <c r="F4" s="17" t="s">
        <v>26</v>
      </c>
    </row>
    <row r="6" spans="2:6" ht="60" x14ac:dyDescent="0.25">
      <c r="B6" s="1" t="s">
        <v>2</v>
      </c>
      <c r="C6" s="1" t="s">
        <v>4</v>
      </c>
      <c r="D6" s="1" t="s">
        <v>3</v>
      </c>
      <c r="E6" s="1" t="s">
        <v>447</v>
      </c>
      <c r="F6" s="1" t="s">
        <v>5</v>
      </c>
    </row>
    <row r="7" spans="2:6" x14ac:dyDescent="0.25">
      <c r="B7" s="1"/>
      <c r="C7" s="1"/>
      <c r="D7" s="1"/>
      <c r="E7" s="1"/>
      <c r="F7" s="1"/>
    </row>
    <row r="8" spans="2:6" x14ac:dyDescent="0.25">
      <c r="B8" s="3" t="s">
        <v>6</v>
      </c>
      <c r="C8" s="1"/>
      <c r="D8" s="1"/>
      <c r="E8" s="1"/>
      <c r="F8" s="1"/>
    </row>
    <row r="9" spans="2:6" x14ac:dyDescent="0.25">
      <c r="B9" s="5" t="s">
        <v>7</v>
      </c>
      <c r="C9" s="1"/>
      <c r="D9" s="1"/>
      <c r="E9" s="1"/>
      <c r="F9" s="5">
        <v>2.0099999999999998</v>
      </c>
    </row>
    <row r="10" spans="2:6" x14ac:dyDescent="0.25">
      <c r="B10" s="5" t="s">
        <v>8</v>
      </c>
      <c r="C10" s="1"/>
      <c r="D10" s="1"/>
      <c r="E10" s="1"/>
      <c r="F10" s="5">
        <v>5.34</v>
      </c>
    </row>
    <row r="11" spans="2:6" x14ac:dyDescent="0.25">
      <c r="B11" s="5" t="s">
        <v>200</v>
      </c>
      <c r="C11" s="1"/>
      <c r="D11" s="1"/>
      <c r="E11" s="1"/>
      <c r="F11" s="5">
        <v>0.19</v>
      </c>
    </row>
    <row r="12" spans="2:6" x14ac:dyDescent="0.25">
      <c r="B12" s="5" t="s">
        <v>11</v>
      </c>
      <c r="C12" s="1"/>
      <c r="D12" s="1"/>
      <c r="E12" s="1"/>
      <c r="F12" s="5">
        <v>0.55000000000000004</v>
      </c>
    </row>
    <row r="13" spans="2:6" x14ac:dyDescent="0.25">
      <c r="B13" s="5" t="s">
        <v>9</v>
      </c>
      <c r="C13" s="1"/>
      <c r="D13" s="1"/>
      <c r="E13" s="1"/>
      <c r="F13" s="5">
        <v>0.26</v>
      </c>
    </row>
    <row r="14" spans="2:6" x14ac:dyDescent="0.25">
      <c r="B14" s="5" t="s">
        <v>15</v>
      </c>
      <c r="C14" s="1"/>
      <c r="D14" s="1"/>
      <c r="E14" s="1"/>
      <c r="F14" s="5">
        <v>0.01</v>
      </c>
    </row>
    <row r="15" spans="2:6" ht="24.75" x14ac:dyDescent="0.25">
      <c r="B15" s="5" t="s">
        <v>16</v>
      </c>
      <c r="C15" s="1"/>
      <c r="D15" s="1"/>
      <c r="E15" s="1"/>
      <c r="F15" s="5">
        <v>0.28999999999999998</v>
      </c>
    </row>
    <row r="16" spans="2:6" x14ac:dyDescent="0.25">
      <c r="B16" s="5" t="s">
        <v>17</v>
      </c>
      <c r="C16" s="1"/>
      <c r="D16" s="1"/>
      <c r="E16" s="1"/>
      <c r="F16" s="5">
        <v>0.32</v>
      </c>
    </row>
    <row r="17" spans="2:6" x14ac:dyDescent="0.25">
      <c r="B17" s="5" t="s">
        <v>18</v>
      </c>
      <c r="C17" s="1"/>
      <c r="D17" s="1"/>
      <c r="E17" s="1"/>
      <c r="F17" s="5">
        <v>1.97</v>
      </c>
    </row>
    <row r="18" spans="2:6" x14ac:dyDescent="0.25">
      <c r="B18" s="5" t="s">
        <v>19</v>
      </c>
      <c r="C18" s="1"/>
      <c r="D18" s="1"/>
      <c r="E18" s="1"/>
      <c r="F18" s="5">
        <v>3.51</v>
      </c>
    </row>
    <row r="19" spans="2:6" x14ac:dyDescent="0.25">
      <c r="B19" s="10" t="s">
        <v>20</v>
      </c>
      <c r="C19" s="1"/>
      <c r="D19" s="1"/>
      <c r="E19" s="1"/>
      <c r="F19" s="4">
        <f>SUM(F9:F18)</f>
        <v>14.45</v>
      </c>
    </row>
    <row r="20" spans="2:6" x14ac:dyDescent="0.25">
      <c r="B20" s="3" t="s">
        <v>21</v>
      </c>
      <c r="C20" s="1"/>
      <c r="D20" s="1"/>
      <c r="E20" s="1"/>
      <c r="F20" s="1"/>
    </row>
    <row r="21" spans="2:6" x14ac:dyDescent="0.25">
      <c r="B21" s="15" t="s">
        <v>269</v>
      </c>
      <c r="C21" s="1" t="s">
        <v>261</v>
      </c>
      <c r="D21" s="1">
        <v>6</v>
      </c>
      <c r="E21" s="1">
        <v>30</v>
      </c>
      <c r="F21" s="24">
        <f>E21/156.2*1000/12</f>
        <v>16.005121638924457</v>
      </c>
    </row>
    <row r="22" spans="2:6" x14ac:dyDescent="0.25">
      <c r="B22" s="15" t="s">
        <v>257</v>
      </c>
      <c r="C22" s="1" t="s">
        <v>26</v>
      </c>
      <c r="D22" s="1">
        <v>60</v>
      </c>
      <c r="E22" s="1">
        <v>72</v>
      </c>
      <c r="F22" s="24">
        <f t="shared" ref="F22:F32" si="0">E22/156.2*1000/12</f>
        <v>38.412291933418693</v>
      </c>
    </row>
    <row r="23" spans="2:6" x14ac:dyDescent="0.25">
      <c r="B23" s="15" t="s">
        <v>286</v>
      </c>
      <c r="C23" s="1" t="s">
        <v>256</v>
      </c>
      <c r="D23" s="1">
        <v>1</v>
      </c>
      <c r="E23" s="1">
        <v>30</v>
      </c>
      <c r="F23" s="24">
        <f t="shared" si="0"/>
        <v>16.005121638924457</v>
      </c>
    </row>
    <row r="24" spans="2:6" x14ac:dyDescent="0.25">
      <c r="B24" s="1"/>
      <c r="C24" s="1"/>
      <c r="D24" s="1"/>
      <c r="E24" s="1"/>
      <c r="F24" s="24">
        <f t="shared" si="0"/>
        <v>0</v>
      </c>
    </row>
    <row r="25" spans="2:6" x14ac:dyDescent="0.25">
      <c r="B25" s="1"/>
      <c r="C25" s="1"/>
      <c r="D25" s="1"/>
      <c r="E25" s="1"/>
      <c r="F25" s="24">
        <f t="shared" si="0"/>
        <v>0</v>
      </c>
    </row>
    <row r="26" spans="2:6" x14ac:dyDescent="0.25">
      <c r="B26" s="1"/>
      <c r="C26" s="1"/>
      <c r="D26" s="1"/>
      <c r="E26" s="1"/>
      <c r="F26" s="24">
        <f t="shared" si="0"/>
        <v>0</v>
      </c>
    </row>
    <row r="27" spans="2:6" x14ac:dyDescent="0.25">
      <c r="B27" s="1"/>
      <c r="C27" s="1"/>
      <c r="D27" s="1"/>
      <c r="E27" s="1"/>
      <c r="F27" s="24">
        <f t="shared" si="0"/>
        <v>0</v>
      </c>
    </row>
    <row r="28" spans="2:6" x14ac:dyDescent="0.25">
      <c r="B28" s="1"/>
      <c r="C28" s="1"/>
      <c r="D28" s="1"/>
      <c r="E28" s="1"/>
      <c r="F28" s="24">
        <f t="shared" si="0"/>
        <v>0</v>
      </c>
    </row>
    <row r="29" spans="2:6" x14ac:dyDescent="0.25">
      <c r="B29" s="1"/>
      <c r="C29" s="1"/>
      <c r="D29" s="1"/>
      <c r="E29" s="1"/>
      <c r="F29" s="24">
        <f t="shared" si="0"/>
        <v>0</v>
      </c>
    </row>
    <row r="30" spans="2:6" x14ac:dyDescent="0.25">
      <c r="B30" s="1"/>
      <c r="C30" s="1"/>
      <c r="D30" s="1"/>
      <c r="E30" s="1"/>
      <c r="F30" s="24">
        <f t="shared" si="0"/>
        <v>0</v>
      </c>
    </row>
    <row r="31" spans="2:6" x14ac:dyDescent="0.25">
      <c r="B31" s="1"/>
      <c r="C31" s="1"/>
      <c r="D31" s="1"/>
      <c r="E31" s="1"/>
      <c r="F31" s="24">
        <f t="shared" si="0"/>
        <v>0</v>
      </c>
    </row>
    <row r="32" spans="2:6" x14ac:dyDescent="0.25">
      <c r="B32" s="1"/>
      <c r="C32" s="1"/>
      <c r="D32" s="1"/>
      <c r="E32" s="1"/>
      <c r="F32" s="24">
        <f t="shared" si="0"/>
        <v>0</v>
      </c>
    </row>
    <row r="33" spans="2:6" x14ac:dyDescent="0.25">
      <c r="B33" s="10" t="s">
        <v>20</v>
      </c>
      <c r="C33" s="1"/>
      <c r="D33" s="1"/>
      <c r="E33" s="4">
        <f>SUM(E21:E32)</f>
        <v>132</v>
      </c>
      <c r="F33" s="22">
        <f>SUM(F21:F32)</f>
        <v>70.422535211267615</v>
      </c>
    </row>
    <row r="34" spans="2:6" x14ac:dyDescent="0.25">
      <c r="B34" s="4" t="s">
        <v>22</v>
      </c>
      <c r="C34" s="6"/>
      <c r="D34" s="6"/>
      <c r="E34" s="6"/>
      <c r="F34" s="23">
        <f>F19+F33</f>
        <v>84.872535211267618</v>
      </c>
    </row>
    <row r="35" spans="2:6" x14ac:dyDescent="0.25">
      <c r="B35" s="7"/>
      <c r="C35" s="7"/>
      <c r="D35" s="7"/>
      <c r="E35" s="7"/>
      <c r="F35" s="7"/>
    </row>
    <row r="36" spans="2:6" x14ac:dyDescent="0.25">
      <c r="B36" s="18"/>
      <c r="C36" s="18"/>
      <c r="D36" s="18"/>
      <c r="E36" s="18"/>
      <c r="F36" s="18"/>
    </row>
    <row r="37" spans="2:6" x14ac:dyDescent="0.25">
      <c r="B37" s="18"/>
      <c r="C37" s="18"/>
      <c r="D37" s="18"/>
      <c r="E37" s="18"/>
      <c r="F37" s="18"/>
    </row>
    <row r="38" spans="2:6" x14ac:dyDescent="0.25">
      <c r="B38" s="39" t="s">
        <v>23</v>
      </c>
      <c r="C38" s="38"/>
      <c r="D38" s="38"/>
      <c r="E38" s="39" t="s">
        <v>24</v>
      </c>
      <c r="F38" s="38"/>
    </row>
    <row r="40" spans="2:6" ht="36" customHeight="1" x14ac:dyDescent="0.25">
      <c r="B40" s="37" t="s">
        <v>204</v>
      </c>
      <c r="C40" s="37"/>
      <c r="D40" s="37"/>
      <c r="E40" s="37"/>
      <c r="F40" s="37"/>
    </row>
    <row r="41" spans="2:6" ht="35.450000000000003" customHeight="1" x14ac:dyDescent="0.25">
      <c r="B41" s="37" t="s">
        <v>1</v>
      </c>
      <c r="C41" s="37"/>
      <c r="D41" s="37"/>
      <c r="E41" s="37"/>
      <c r="F41" s="37"/>
    </row>
    <row r="42" spans="2:6" x14ac:dyDescent="0.25">
      <c r="B42" s="16" t="s">
        <v>0</v>
      </c>
      <c r="C42" s="16"/>
      <c r="D42" s="16"/>
      <c r="E42" s="16"/>
      <c r="F42" s="16"/>
    </row>
    <row r="43" spans="2:6" x14ac:dyDescent="0.25">
      <c r="B43" s="17"/>
      <c r="C43" s="38" t="s">
        <v>25</v>
      </c>
      <c r="D43" s="38"/>
      <c r="E43" s="17">
        <v>198.2</v>
      </c>
      <c r="F43" s="17" t="s">
        <v>26</v>
      </c>
    </row>
    <row r="45" spans="2:6" ht="60" x14ac:dyDescent="0.25">
      <c r="B45" s="1" t="s">
        <v>2</v>
      </c>
      <c r="C45" s="1" t="s">
        <v>4</v>
      </c>
      <c r="D45" s="1" t="s">
        <v>3</v>
      </c>
      <c r="E45" s="1" t="s">
        <v>447</v>
      </c>
      <c r="F45" s="1" t="s">
        <v>5</v>
      </c>
    </row>
    <row r="46" spans="2:6" x14ac:dyDescent="0.25">
      <c r="B46" s="1"/>
      <c r="C46" s="1"/>
      <c r="D46" s="1"/>
      <c r="E46" s="1"/>
      <c r="F46" s="1"/>
    </row>
    <row r="47" spans="2:6" x14ac:dyDescent="0.25">
      <c r="B47" s="3" t="s">
        <v>6</v>
      </c>
      <c r="C47" s="1"/>
      <c r="D47" s="1"/>
      <c r="E47" s="1"/>
      <c r="F47" s="1"/>
    </row>
    <row r="48" spans="2:6" x14ac:dyDescent="0.25">
      <c r="B48" s="5" t="s">
        <v>7</v>
      </c>
      <c r="C48" s="1"/>
      <c r="D48" s="1"/>
      <c r="E48" s="1"/>
      <c r="F48" s="5">
        <v>2.0099999999999998</v>
      </c>
    </row>
    <row r="49" spans="2:6" x14ac:dyDescent="0.25">
      <c r="B49" s="5" t="s">
        <v>8</v>
      </c>
      <c r="C49" s="1"/>
      <c r="D49" s="1"/>
      <c r="E49" s="1"/>
      <c r="F49" s="5">
        <v>5.34</v>
      </c>
    </row>
    <row r="50" spans="2:6" x14ac:dyDescent="0.25">
      <c r="B50" s="5" t="s">
        <v>11</v>
      </c>
      <c r="C50" s="1"/>
      <c r="D50" s="1"/>
      <c r="E50" s="1"/>
      <c r="F50" s="5">
        <v>0.55000000000000004</v>
      </c>
    </row>
    <row r="51" spans="2:6" x14ac:dyDescent="0.25">
      <c r="B51" s="5" t="s">
        <v>14</v>
      </c>
      <c r="C51" s="1"/>
      <c r="D51" s="1"/>
      <c r="E51" s="1"/>
      <c r="F51" s="5">
        <v>1.25</v>
      </c>
    </row>
    <row r="52" spans="2:6" x14ac:dyDescent="0.25">
      <c r="B52" s="5" t="s">
        <v>9</v>
      </c>
      <c r="C52" s="1"/>
      <c r="D52" s="1"/>
      <c r="E52" s="1"/>
      <c r="F52" s="5">
        <v>0.26</v>
      </c>
    </row>
    <row r="53" spans="2:6" x14ac:dyDescent="0.25">
      <c r="B53" s="5" t="s">
        <v>15</v>
      </c>
      <c r="C53" s="1"/>
      <c r="D53" s="1"/>
      <c r="E53" s="1"/>
      <c r="F53" s="5">
        <v>0.01</v>
      </c>
    </row>
    <row r="54" spans="2:6" ht="24.75" x14ac:dyDescent="0.25">
      <c r="B54" s="5" t="s">
        <v>16</v>
      </c>
      <c r="C54" s="1"/>
      <c r="D54" s="1"/>
      <c r="E54" s="1"/>
      <c r="F54" s="5">
        <v>0.28999999999999998</v>
      </c>
    </row>
    <row r="55" spans="2:6" x14ac:dyDescent="0.25">
      <c r="B55" s="5" t="s">
        <v>17</v>
      </c>
      <c r="C55" s="1"/>
      <c r="D55" s="1"/>
      <c r="E55" s="1"/>
      <c r="F55" s="5">
        <v>0.32</v>
      </c>
    </row>
    <row r="56" spans="2:6" x14ac:dyDescent="0.25">
      <c r="B56" s="5" t="s">
        <v>18</v>
      </c>
      <c r="C56" s="1"/>
      <c r="D56" s="1"/>
      <c r="E56" s="1"/>
      <c r="F56" s="5">
        <v>1.97</v>
      </c>
    </row>
    <row r="57" spans="2:6" x14ac:dyDescent="0.25">
      <c r="B57" s="5" t="s">
        <v>19</v>
      </c>
      <c r="C57" s="1"/>
      <c r="D57" s="1"/>
      <c r="E57" s="1"/>
      <c r="F57" s="5">
        <v>3.51</v>
      </c>
    </row>
    <row r="58" spans="2:6" x14ac:dyDescent="0.25">
      <c r="B58" s="10" t="s">
        <v>20</v>
      </c>
      <c r="C58" s="1"/>
      <c r="D58" s="1"/>
      <c r="E58" s="1"/>
      <c r="F58" s="4">
        <f>SUM(F48:F57)</f>
        <v>15.509999999999998</v>
      </c>
    </row>
    <row r="59" spans="2:6" x14ac:dyDescent="0.25">
      <c r="B59" s="3" t="s">
        <v>21</v>
      </c>
      <c r="C59" s="1"/>
      <c r="D59" s="1"/>
      <c r="E59" s="1"/>
      <c r="F59" s="1"/>
    </row>
    <row r="60" spans="2:6" x14ac:dyDescent="0.25">
      <c r="B60" s="15" t="s">
        <v>269</v>
      </c>
      <c r="C60" s="1" t="s">
        <v>261</v>
      </c>
      <c r="D60" s="1">
        <v>6</v>
      </c>
      <c r="E60" s="1">
        <v>30</v>
      </c>
      <c r="F60" s="24">
        <f>E60/198.2*1000/12</f>
        <v>12.613521695257317</v>
      </c>
    </row>
    <row r="61" spans="2:6" x14ac:dyDescent="0.25">
      <c r="B61" s="15" t="s">
        <v>257</v>
      </c>
      <c r="C61" s="1" t="s">
        <v>26</v>
      </c>
      <c r="D61" s="1">
        <v>80</v>
      </c>
      <c r="E61" s="1">
        <v>100</v>
      </c>
      <c r="F61" s="24">
        <f t="shared" ref="F61:F71" si="1">E61/198.2*1000/12</f>
        <v>42.045072317524387</v>
      </c>
    </row>
    <row r="62" spans="2:6" x14ac:dyDescent="0.25">
      <c r="B62" s="1"/>
      <c r="C62" s="1"/>
      <c r="D62" s="1"/>
      <c r="E62" s="1"/>
      <c r="F62" s="24">
        <f t="shared" si="1"/>
        <v>0</v>
      </c>
    </row>
    <row r="63" spans="2:6" x14ac:dyDescent="0.25">
      <c r="B63" s="1"/>
      <c r="C63" s="1"/>
      <c r="D63" s="1"/>
      <c r="E63" s="1"/>
      <c r="F63" s="24">
        <f t="shared" si="1"/>
        <v>0</v>
      </c>
    </row>
    <row r="64" spans="2:6" x14ac:dyDescent="0.25">
      <c r="B64" s="1"/>
      <c r="C64" s="1"/>
      <c r="D64" s="1"/>
      <c r="E64" s="1"/>
      <c r="F64" s="24">
        <f t="shared" si="1"/>
        <v>0</v>
      </c>
    </row>
    <row r="65" spans="2:6" x14ac:dyDescent="0.25">
      <c r="B65" s="1"/>
      <c r="C65" s="1"/>
      <c r="D65" s="1"/>
      <c r="E65" s="1"/>
      <c r="F65" s="24">
        <f t="shared" si="1"/>
        <v>0</v>
      </c>
    </row>
    <row r="66" spans="2:6" x14ac:dyDescent="0.25">
      <c r="B66" s="1"/>
      <c r="C66" s="1"/>
      <c r="D66" s="1"/>
      <c r="E66" s="1"/>
      <c r="F66" s="24">
        <f t="shared" si="1"/>
        <v>0</v>
      </c>
    </row>
    <row r="67" spans="2:6" x14ac:dyDescent="0.25">
      <c r="B67" s="1"/>
      <c r="C67" s="1"/>
      <c r="D67" s="1"/>
      <c r="E67" s="1"/>
      <c r="F67" s="24">
        <f t="shared" si="1"/>
        <v>0</v>
      </c>
    </row>
    <row r="68" spans="2:6" x14ac:dyDescent="0.25">
      <c r="B68" s="1"/>
      <c r="C68" s="1"/>
      <c r="D68" s="1"/>
      <c r="E68" s="1"/>
      <c r="F68" s="24">
        <f t="shared" si="1"/>
        <v>0</v>
      </c>
    </row>
    <row r="69" spans="2:6" x14ac:dyDescent="0.25">
      <c r="B69" s="1"/>
      <c r="C69" s="1"/>
      <c r="D69" s="1"/>
      <c r="E69" s="1"/>
      <c r="F69" s="24">
        <f t="shared" si="1"/>
        <v>0</v>
      </c>
    </row>
    <row r="70" spans="2:6" x14ac:dyDescent="0.25">
      <c r="B70" s="1"/>
      <c r="C70" s="1"/>
      <c r="D70" s="1"/>
      <c r="E70" s="1"/>
      <c r="F70" s="24">
        <f t="shared" si="1"/>
        <v>0</v>
      </c>
    </row>
    <row r="71" spans="2:6" x14ac:dyDescent="0.25">
      <c r="B71" s="1"/>
      <c r="C71" s="1"/>
      <c r="D71" s="1"/>
      <c r="E71" s="1"/>
      <c r="F71" s="24">
        <f t="shared" si="1"/>
        <v>0</v>
      </c>
    </row>
    <row r="72" spans="2:6" x14ac:dyDescent="0.25">
      <c r="B72" s="10" t="s">
        <v>20</v>
      </c>
      <c r="C72" s="1"/>
      <c r="D72" s="1"/>
      <c r="E72" s="4">
        <f>SUM(E60:E71)</f>
        <v>130</v>
      </c>
      <c r="F72" s="22">
        <f>SUM(F60:F71)</f>
        <v>54.658594012781705</v>
      </c>
    </row>
    <row r="73" spans="2:6" x14ac:dyDescent="0.25">
      <c r="B73" s="4" t="s">
        <v>22</v>
      </c>
      <c r="C73" s="6"/>
      <c r="D73" s="6"/>
      <c r="E73" s="6"/>
      <c r="F73" s="23">
        <f>F58+F72</f>
        <v>70.16859401278171</v>
      </c>
    </row>
    <row r="74" spans="2:6" x14ac:dyDescent="0.25">
      <c r="B74" s="7"/>
      <c r="C74" s="7"/>
      <c r="D74" s="7"/>
      <c r="E74" s="7"/>
      <c r="F74" s="7"/>
    </row>
    <row r="75" spans="2:6" x14ac:dyDescent="0.25">
      <c r="B75" s="18"/>
      <c r="C75" s="18"/>
      <c r="D75" s="18"/>
      <c r="E75" s="18"/>
      <c r="F75" s="18"/>
    </row>
    <row r="76" spans="2:6" x14ac:dyDescent="0.25">
      <c r="B76" s="18"/>
      <c r="C76" s="18"/>
      <c r="D76" s="18"/>
      <c r="E76" s="18"/>
      <c r="F76" s="18"/>
    </row>
    <row r="77" spans="2:6" x14ac:dyDescent="0.25">
      <c r="B77" s="39" t="s">
        <v>23</v>
      </c>
      <c r="C77" s="38"/>
      <c r="D77" s="38"/>
      <c r="E77" s="39" t="s">
        <v>24</v>
      </c>
      <c r="F77" s="38"/>
    </row>
    <row r="79" spans="2:6" ht="28.9" customHeight="1" x14ac:dyDescent="0.25">
      <c r="B79" s="37" t="s">
        <v>205</v>
      </c>
      <c r="C79" s="37"/>
      <c r="D79" s="37"/>
      <c r="E79" s="37"/>
      <c r="F79" s="37"/>
    </row>
    <row r="80" spans="2:6" ht="27.6" customHeight="1" x14ac:dyDescent="0.25">
      <c r="B80" s="37" t="s">
        <v>1</v>
      </c>
      <c r="C80" s="37"/>
      <c r="D80" s="37"/>
      <c r="E80" s="37"/>
      <c r="F80" s="37"/>
    </row>
    <row r="81" spans="2:6" x14ac:dyDescent="0.25">
      <c r="B81" s="16" t="s">
        <v>0</v>
      </c>
      <c r="C81" s="16"/>
      <c r="D81" s="16"/>
      <c r="E81" s="16"/>
      <c r="F81" s="16"/>
    </row>
    <row r="82" spans="2:6" x14ac:dyDescent="0.25">
      <c r="B82" s="17"/>
      <c r="C82" s="38" t="s">
        <v>25</v>
      </c>
      <c r="D82" s="38"/>
      <c r="E82" s="17">
        <v>120.7</v>
      </c>
      <c r="F82" s="17" t="s">
        <v>26</v>
      </c>
    </row>
    <row r="84" spans="2:6" ht="60" x14ac:dyDescent="0.25">
      <c r="B84" s="1" t="s">
        <v>2</v>
      </c>
      <c r="C84" s="1" t="s">
        <v>4</v>
      </c>
      <c r="D84" s="1" t="s">
        <v>3</v>
      </c>
      <c r="E84" s="1" t="s">
        <v>447</v>
      </c>
      <c r="F84" s="1" t="s">
        <v>5</v>
      </c>
    </row>
    <row r="85" spans="2:6" x14ac:dyDescent="0.25">
      <c r="B85" s="1"/>
      <c r="C85" s="1"/>
      <c r="D85" s="1"/>
      <c r="E85" s="1"/>
      <c r="F85" s="1"/>
    </row>
    <row r="86" spans="2:6" x14ac:dyDescent="0.25">
      <c r="B86" s="3" t="s">
        <v>6</v>
      </c>
      <c r="C86" s="1"/>
      <c r="D86" s="1"/>
      <c r="E86" s="1"/>
      <c r="F86" s="1"/>
    </row>
    <row r="87" spans="2:6" x14ac:dyDescent="0.25">
      <c r="B87" s="5" t="s">
        <v>7</v>
      </c>
      <c r="C87" s="1"/>
      <c r="D87" s="1"/>
      <c r="E87" s="1"/>
      <c r="F87" s="5">
        <v>2.0099999999999998</v>
      </c>
    </row>
    <row r="88" spans="2:6" x14ac:dyDescent="0.25">
      <c r="B88" s="5" t="s">
        <v>8</v>
      </c>
      <c r="C88" s="1"/>
      <c r="D88" s="1"/>
      <c r="E88" s="1"/>
      <c r="F88" s="5">
        <v>5.34</v>
      </c>
    </row>
    <row r="89" spans="2:6" x14ac:dyDescent="0.25">
      <c r="B89" s="5" t="s">
        <v>200</v>
      </c>
      <c r="C89" s="1"/>
      <c r="D89" s="1"/>
      <c r="E89" s="1"/>
      <c r="F89" s="5">
        <v>0.19</v>
      </c>
    </row>
    <row r="90" spans="2:6" x14ac:dyDescent="0.25">
      <c r="B90" s="5" t="s">
        <v>9</v>
      </c>
      <c r="C90" s="1"/>
      <c r="D90" s="1"/>
      <c r="E90" s="1"/>
      <c r="F90" s="5">
        <v>0.26</v>
      </c>
    </row>
    <row r="91" spans="2:6" x14ac:dyDescent="0.25">
      <c r="B91" s="5" t="s">
        <v>15</v>
      </c>
      <c r="C91" s="1"/>
      <c r="D91" s="1"/>
      <c r="E91" s="1"/>
      <c r="F91" s="5">
        <v>0.01</v>
      </c>
    </row>
    <row r="92" spans="2:6" ht="24.75" x14ac:dyDescent="0.25">
      <c r="B92" s="5" t="s">
        <v>16</v>
      </c>
      <c r="C92" s="1"/>
      <c r="D92" s="1"/>
      <c r="E92" s="1"/>
      <c r="F92" s="5">
        <v>0.28999999999999998</v>
      </c>
    </row>
    <row r="93" spans="2:6" x14ac:dyDescent="0.25">
      <c r="B93" s="5" t="s">
        <v>17</v>
      </c>
      <c r="C93" s="1"/>
      <c r="D93" s="1"/>
      <c r="E93" s="1"/>
      <c r="F93" s="5">
        <v>0.32</v>
      </c>
    </row>
    <row r="94" spans="2:6" x14ac:dyDescent="0.25">
      <c r="B94" s="5" t="s">
        <v>18</v>
      </c>
      <c r="C94" s="1"/>
      <c r="D94" s="1"/>
      <c r="E94" s="1"/>
      <c r="F94" s="5">
        <v>1.97</v>
      </c>
    </row>
    <row r="95" spans="2:6" x14ac:dyDescent="0.25">
      <c r="B95" s="5" t="s">
        <v>19</v>
      </c>
      <c r="C95" s="1"/>
      <c r="D95" s="1"/>
      <c r="E95" s="1"/>
      <c r="F95" s="5">
        <v>3.51</v>
      </c>
    </row>
    <row r="96" spans="2:6" x14ac:dyDescent="0.25">
      <c r="B96" s="10" t="s">
        <v>20</v>
      </c>
      <c r="C96" s="1"/>
      <c r="D96" s="1"/>
      <c r="E96" s="1"/>
      <c r="F96" s="22">
        <f>SUM(F87:F95)</f>
        <v>13.9</v>
      </c>
    </row>
    <row r="97" spans="2:6" x14ac:dyDescent="0.25">
      <c r="B97" s="3" t="s">
        <v>21</v>
      </c>
      <c r="C97" s="1"/>
      <c r="D97" s="1"/>
      <c r="E97" s="1"/>
      <c r="F97" s="1"/>
    </row>
    <row r="98" spans="2:6" x14ac:dyDescent="0.25">
      <c r="B98" s="15" t="s">
        <v>257</v>
      </c>
      <c r="C98" s="1" t="s">
        <v>26</v>
      </c>
      <c r="D98" s="1">
        <v>80</v>
      </c>
      <c r="E98" s="1">
        <v>100</v>
      </c>
      <c r="F98" s="24">
        <f>E98/120.7*1000/12</f>
        <v>69.041701187517262</v>
      </c>
    </row>
    <row r="99" spans="2:6" x14ac:dyDescent="0.25">
      <c r="B99" s="15" t="s">
        <v>260</v>
      </c>
      <c r="C99" s="1" t="s">
        <v>256</v>
      </c>
      <c r="D99" s="1">
        <v>1</v>
      </c>
      <c r="E99" s="1">
        <v>40</v>
      </c>
      <c r="F99" s="24">
        <f t="shared" ref="F99:F109" si="2">E99/120.7*1000/12</f>
        <v>27.616680475006902</v>
      </c>
    </row>
    <row r="100" spans="2:6" x14ac:dyDescent="0.25">
      <c r="B100" s="15" t="s">
        <v>287</v>
      </c>
      <c r="C100" s="1" t="s">
        <v>265</v>
      </c>
      <c r="D100" s="1">
        <v>1</v>
      </c>
      <c r="E100" s="1">
        <v>35</v>
      </c>
      <c r="F100" s="24">
        <f t="shared" si="2"/>
        <v>24.164595415631041</v>
      </c>
    </row>
    <row r="101" spans="2:6" x14ac:dyDescent="0.25">
      <c r="B101" s="1"/>
      <c r="C101" s="1"/>
      <c r="D101" s="1"/>
      <c r="E101" s="1"/>
      <c r="F101" s="24">
        <f t="shared" si="2"/>
        <v>0</v>
      </c>
    </row>
    <row r="102" spans="2:6" x14ac:dyDescent="0.25">
      <c r="B102" s="1"/>
      <c r="C102" s="1"/>
      <c r="D102" s="1"/>
      <c r="E102" s="1"/>
      <c r="F102" s="24">
        <f t="shared" si="2"/>
        <v>0</v>
      </c>
    </row>
    <row r="103" spans="2:6" x14ac:dyDescent="0.25">
      <c r="B103" s="1"/>
      <c r="C103" s="1"/>
      <c r="D103" s="1"/>
      <c r="E103" s="1"/>
      <c r="F103" s="24">
        <f t="shared" si="2"/>
        <v>0</v>
      </c>
    </row>
    <row r="104" spans="2:6" x14ac:dyDescent="0.25">
      <c r="B104" s="1"/>
      <c r="C104" s="1"/>
      <c r="D104" s="1"/>
      <c r="E104" s="1"/>
      <c r="F104" s="24">
        <f t="shared" si="2"/>
        <v>0</v>
      </c>
    </row>
    <row r="105" spans="2:6" x14ac:dyDescent="0.25">
      <c r="B105" s="1"/>
      <c r="C105" s="1"/>
      <c r="D105" s="1"/>
      <c r="E105" s="1"/>
      <c r="F105" s="24">
        <f t="shared" si="2"/>
        <v>0</v>
      </c>
    </row>
    <row r="106" spans="2:6" x14ac:dyDescent="0.25">
      <c r="B106" s="1"/>
      <c r="C106" s="1"/>
      <c r="D106" s="1"/>
      <c r="E106" s="1"/>
      <c r="F106" s="24">
        <f t="shared" si="2"/>
        <v>0</v>
      </c>
    </row>
    <row r="107" spans="2:6" x14ac:dyDescent="0.25">
      <c r="B107" s="1"/>
      <c r="C107" s="1"/>
      <c r="D107" s="1"/>
      <c r="E107" s="1"/>
      <c r="F107" s="24">
        <f t="shared" si="2"/>
        <v>0</v>
      </c>
    </row>
    <row r="108" spans="2:6" x14ac:dyDescent="0.25">
      <c r="B108" s="1"/>
      <c r="C108" s="1"/>
      <c r="D108" s="1"/>
      <c r="E108" s="1"/>
      <c r="F108" s="24">
        <f t="shared" si="2"/>
        <v>0</v>
      </c>
    </row>
    <row r="109" spans="2:6" x14ac:dyDescent="0.25">
      <c r="B109" s="1"/>
      <c r="C109" s="1"/>
      <c r="D109" s="1"/>
      <c r="E109" s="1"/>
      <c r="F109" s="24">
        <f t="shared" si="2"/>
        <v>0</v>
      </c>
    </row>
    <row r="110" spans="2:6" x14ac:dyDescent="0.25">
      <c r="B110" s="10" t="s">
        <v>20</v>
      </c>
      <c r="C110" s="1"/>
      <c r="D110" s="1"/>
      <c r="E110" s="4">
        <f>SUM(E98:E109)</f>
        <v>175</v>
      </c>
      <c r="F110" s="22">
        <f>SUM(F98:F109)</f>
        <v>120.8229770781552</v>
      </c>
    </row>
    <row r="111" spans="2:6" x14ac:dyDescent="0.25">
      <c r="B111" s="4" t="s">
        <v>22</v>
      </c>
      <c r="C111" s="6"/>
      <c r="D111" s="6"/>
      <c r="E111" s="6"/>
      <c r="F111" s="23">
        <f>F96+F110</f>
        <v>134.7229770781552</v>
      </c>
    </row>
    <row r="112" spans="2:6" x14ac:dyDescent="0.25">
      <c r="B112" s="7"/>
      <c r="C112" s="7"/>
      <c r="D112" s="7"/>
      <c r="E112" s="7"/>
      <c r="F112" s="7"/>
    </row>
    <row r="113" spans="2:6" x14ac:dyDescent="0.25">
      <c r="B113" s="18"/>
      <c r="C113" s="18"/>
      <c r="D113" s="18"/>
      <c r="E113" s="18"/>
      <c r="F113" s="18"/>
    </row>
    <row r="114" spans="2:6" x14ac:dyDescent="0.25">
      <c r="B114" s="18"/>
      <c r="C114" s="18"/>
      <c r="D114" s="18"/>
      <c r="E114" s="18"/>
      <c r="F114" s="18"/>
    </row>
    <row r="115" spans="2:6" x14ac:dyDescent="0.25">
      <c r="B115" s="39" t="s">
        <v>23</v>
      </c>
      <c r="C115" s="38"/>
      <c r="D115" s="38"/>
      <c r="E115" s="39" t="s">
        <v>24</v>
      </c>
      <c r="F115" s="38"/>
    </row>
    <row r="117" spans="2:6" ht="35.450000000000003" customHeight="1" x14ac:dyDescent="0.25">
      <c r="B117" s="37" t="s">
        <v>206</v>
      </c>
      <c r="C117" s="37"/>
      <c r="D117" s="37"/>
      <c r="E117" s="37"/>
      <c r="F117" s="37"/>
    </row>
    <row r="118" spans="2:6" ht="31.9" customHeight="1" x14ac:dyDescent="0.25">
      <c r="B118" s="37" t="s">
        <v>1</v>
      </c>
      <c r="C118" s="37"/>
      <c r="D118" s="37"/>
      <c r="E118" s="37"/>
      <c r="F118" s="37"/>
    </row>
    <row r="119" spans="2:6" x14ac:dyDescent="0.25">
      <c r="B119" s="16" t="s">
        <v>0</v>
      </c>
      <c r="C119" s="16"/>
      <c r="D119" s="16"/>
      <c r="E119" s="16"/>
      <c r="F119" s="16"/>
    </row>
    <row r="120" spans="2:6" x14ac:dyDescent="0.25">
      <c r="B120" s="17"/>
      <c r="C120" s="38" t="s">
        <v>25</v>
      </c>
      <c r="D120" s="38"/>
      <c r="E120" s="17">
        <v>2073.6</v>
      </c>
      <c r="F120" s="17" t="s">
        <v>26</v>
      </c>
    </row>
    <row r="122" spans="2:6" ht="60" x14ac:dyDescent="0.25">
      <c r="B122" s="1" t="s">
        <v>2</v>
      </c>
      <c r="C122" s="1" t="s">
        <v>4</v>
      </c>
      <c r="D122" s="1" t="s">
        <v>3</v>
      </c>
      <c r="E122" s="1" t="s">
        <v>447</v>
      </c>
      <c r="F122" s="1" t="s">
        <v>5</v>
      </c>
    </row>
    <row r="123" spans="2:6" x14ac:dyDescent="0.25">
      <c r="B123" s="1"/>
      <c r="C123" s="1"/>
      <c r="D123" s="1"/>
      <c r="E123" s="1"/>
      <c r="F123" s="1"/>
    </row>
    <row r="124" spans="2:6" x14ac:dyDescent="0.25">
      <c r="B124" s="3" t="s">
        <v>6</v>
      </c>
      <c r="C124" s="1"/>
      <c r="D124" s="1"/>
      <c r="E124" s="1"/>
      <c r="F124" s="1"/>
    </row>
    <row r="125" spans="2:6" x14ac:dyDescent="0.25">
      <c r="B125" s="5" t="s">
        <v>7</v>
      </c>
      <c r="C125" s="1"/>
      <c r="D125" s="1"/>
      <c r="E125" s="1"/>
      <c r="F125" s="5">
        <v>2.0099999999999998</v>
      </c>
    </row>
    <row r="126" spans="2:6" x14ac:dyDescent="0.25">
      <c r="B126" s="5" t="s">
        <v>8</v>
      </c>
      <c r="C126" s="1"/>
      <c r="D126" s="1"/>
      <c r="E126" s="1"/>
      <c r="F126" s="5">
        <v>5.34</v>
      </c>
    </row>
    <row r="127" spans="2:6" x14ac:dyDescent="0.25">
      <c r="B127" s="15" t="s">
        <v>30</v>
      </c>
      <c r="C127" s="1"/>
      <c r="D127" s="1"/>
      <c r="E127" s="1"/>
      <c r="F127" s="5">
        <v>0.06</v>
      </c>
    </row>
    <row r="128" spans="2:6" x14ac:dyDescent="0.25">
      <c r="B128" s="5" t="s">
        <v>11</v>
      </c>
      <c r="C128" s="1"/>
      <c r="D128" s="1"/>
      <c r="E128" s="1"/>
      <c r="F128" s="5">
        <v>0.55000000000000004</v>
      </c>
    </row>
    <row r="129" spans="2:6" x14ac:dyDescent="0.25">
      <c r="B129" s="5" t="s">
        <v>12</v>
      </c>
      <c r="C129" s="1"/>
      <c r="D129" s="1"/>
      <c r="E129" s="1"/>
      <c r="F129" s="5">
        <v>0.53</v>
      </c>
    </row>
    <row r="130" spans="2:6" x14ac:dyDescent="0.25">
      <c r="B130" s="5" t="s">
        <v>14</v>
      </c>
      <c r="C130" s="1"/>
      <c r="D130" s="1"/>
      <c r="E130" s="1"/>
      <c r="F130" s="5">
        <v>1.18</v>
      </c>
    </row>
    <row r="131" spans="2:6" x14ac:dyDescent="0.25">
      <c r="B131" s="5" t="s">
        <v>9</v>
      </c>
      <c r="C131" s="1"/>
      <c r="D131" s="1"/>
      <c r="E131" s="1"/>
      <c r="F131" s="5">
        <v>0.26</v>
      </c>
    </row>
    <row r="132" spans="2:6" x14ac:dyDescent="0.25">
      <c r="B132" s="5" t="s">
        <v>15</v>
      </c>
      <c r="C132" s="1"/>
      <c r="D132" s="1"/>
      <c r="E132" s="1"/>
      <c r="F132" s="5">
        <v>0.01</v>
      </c>
    </row>
    <row r="133" spans="2:6" ht="24.75" x14ac:dyDescent="0.25">
      <c r="B133" s="5" t="s">
        <v>16</v>
      </c>
      <c r="C133" s="1"/>
      <c r="D133" s="1"/>
      <c r="E133" s="1"/>
      <c r="F133" s="5">
        <v>0.28999999999999998</v>
      </c>
    </row>
    <row r="134" spans="2:6" x14ac:dyDescent="0.25">
      <c r="B134" s="5" t="s">
        <v>17</v>
      </c>
      <c r="C134" s="1"/>
      <c r="D134" s="1"/>
      <c r="E134" s="1"/>
      <c r="F134" s="5">
        <v>0.32</v>
      </c>
    </row>
    <row r="135" spans="2:6" x14ac:dyDescent="0.25">
      <c r="B135" s="5" t="s">
        <v>18</v>
      </c>
      <c r="C135" s="1"/>
      <c r="D135" s="1"/>
      <c r="E135" s="1"/>
      <c r="F135" s="5">
        <v>1.97</v>
      </c>
    </row>
    <row r="136" spans="2:6" x14ac:dyDescent="0.25">
      <c r="B136" s="5" t="s">
        <v>19</v>
      </c>
      <c r="C136" s="1"/>
      <c r="D136" s="1"/>
      <c r="E136" s="1"/>
      <c r="F136" s="5">
        <v>3.51</v>
      </c>
    </row>
    <row r="137" spans="2:6" x14ac:dyDescent="0.25">
      <c r="B137" s="10" t="s">
        <v>20</v>
      </c>
      <c r="C137" s="1"/>
      <c r="D137" s="1"/>
      <c r="E137" s="1"/>
      <c r="F137" s="4">
        <f>SUM(F125:F136)</f>
        <v>16.029999999999998</v>
      </c>
    </row>
    <row r="138" spans="2:6" x14ac:dyDescent="0.25">
      <c r="B138" s="3" t="s">
        <v>21</v>
      </c>
      <c r="C138" s="1"/>
      <c r="D138" s="1"/>
      <c r="E138" s="1"/>
      <c r="F138" s="1"/>
    </row>
    <row r="139" spans="2:6" x14ac:dyDescent="0.25">
      <c r="B139" s="15" t="s">
        <v>288</v>
      </c>
      <c r="C139" s="1" t="s">
        <v>261</v>
      </c>
      <c r="D139" s="1">
        <v>80</v>
      </c>
      <c r="E139" s="1">
        <v>80</v>
      </c>
      <c r="F139" s="24">
        <f>E139/2073.6*1000/12</f>
        <v>3.2150205761316877</v>
      </c>
    </row>
    <row r="140" spans="2:6" x14ac:dyDescent="0.25">
      <c r="B140" s="15" t="s">
        <v>257</v>
      </c>
      <c r="C140" s="1" t="s">
        <v>26</v>
      </c>
      <c r="D140" s="1">
        <v>100</v>
      </c>
      <c r="E140" s="1">
        <v>120</v>
      </c>
      <c r="F140" s="24">
        <f t="shared" ref="F140:F150" si="3">E140/2073.6*1000/12</f>
        <v>4.8225308641975309</v>
      </c>
    </row>
    <row r="141" spans="2:6" x14ac:dyDescent="0.25">
      <c r="B141" s="1"/>
      <c r="C141" s="1"/>
      <c r="D141" s="1"/>
      <c r="E141" s="1"/>
      <c r="F141" s="24">
        <f t="shared" si="3"/>
        <v>0</v>
      </c>
    </row>
    <row r="142" spans="2:6" x14ac:dyDescent="0.25">
      <c r="B142" s="1"/>
      <c r="C142" s="1"/>
      <c r="D142" s="1"/>
      <c r="E142" s="1"/>
      <c r="F142" s="24">
        <f t="shared" si="3"/>
        <v>0</v>
      </c>
    </row>
    <row r="143" spans="2:6" x14ac:dyDescent="0.25">
      <c r="B143" s="1"/>
      <c r="C143" s="1"/>
      <c r="D143" s="1"/>
      <c r="E143" s="1"/>
      <c r="F143" s="24">
        <f t="shared" si="3"/>
        <v>0</v>
      </c>
    </row>
    <row r="144" spans="2:6" x14ac:dyDescent="0.25">
      <c r="B144" s="1"/>
      <c r="C144" s="1"/>
      <c r="D144" s="1"/>
      <c r="E144" s="1"/>
      <c r="F144" s="24">
        <f t="shared" si="3"/>
        <v>0</v>
      </c>
    </row>
    <row r="145" spans="2:6" x14ac:dyDescent="0.25">
      <c r="B145" s="1"/>
      <c r="C145" s="1"/>
      <c r="D145" s="1"/>
      <c r="E145" s="1"/>
      <c r="F145" s="24">
        <f t="shared" si="3"/>
        <v>0</v>
      </c>
    </row>
    <row r="146" spans="2:6" x14ac:dyDescent="0.25">
      <c r="B146" s="1"/>
      <c r="C146" s="1"/>
      <c r="D146" s="1"/>
      <c r="E146" s="1"/>
      <c r="F146" s="24">
        <f t="shared" si="3"/>
        <v>0</v>
      </c>
    </row>
    <row r="147" spans="2:6" x14ac:dyDescent="0.25">
      <c r="B147" s="1"/>
      <c r="C147" s="1"/>
      <c r="D147" s="1"/>
      <c r="E147" s="1"/>
      <c r="F147" s="24">
        <f t="shared" si="3"/>
        <v>0</v>
      </c>
    </row>
    <row r="148" spans="2:6" x14ac:dyDescent="0.25">
      <c r="B148" s="1"/>
      <c r="C148" s="1"/>
      <c r="D148" s="1"/>
      <c r="E148" s="1"/>
      <c r="F148" s="24">
        <f t="shared" si="3"/>
        <v>0</v>
      </c>
    </row>
    <row r="149" spans="2:6" x14ac:dyDescent="0.25">
      <c r="B149" s="1"/>
      <c r="C149" s="1"/>
      <c r="D149" s="1"/>
      <c r="E149" s="1"/>
      <c r="F149" s="24">
        <f t="shared" si="3"/>
        <v>0</v>
      </c>
    </row>
    <row r="150" spans="2:6" x14ac:dyDescent="0.25">
      <c r="B150" s="1"/>
      <c r="C150" s="1"/>
      <c r="D150" s="1"/>
      <c r="E150" s="1"/>
      <c r="F150" s="24">
        <f t="shared" si="3"/>
        <v>0</v>
      </c>
    </row>
    <row r="151" spans="2:6" x14ac:dyDescent="0.25">
      <c r="B151" s="10" t="s">
        <v>20</v>
      </c>
      <c r="C151" s="1"/>
      <c r="D151" s="1"/>
      <c r="E151" s="4">
        <f>SUM(E139:E150)</f>
        <v>200</v>
      </c>
      <c r="F151" s="22">
        <f>SUM(F139:F150)</f>
        <v>8.037551440329219</v>
      </c>
    </row>
    <row r="152" spans="2:6" x14ac:dyDescent="0.25">
      <c r="B152" s="4" t="s">
        <v>22</v>
      </c>
      <c r="C152" s="6"/>
      <c r="D152" s="6"/>
      <c r="E152" s="6"/>
      <c r="F152" s="23">
        <f>F137+F151</f>
        <v>24.067551440329218</v>
      </c>
    </row>
    <row r="153" spans="2:6" x14ac:dyDescent="0.25">
      <c r="B153" s="7"/>
      <c r="C153" s="7"/>
      <c r="D153" s="7"/>
      <c r="E153" s="7"/>
      <c r="F153" s="7"/>
    </row>
    <row r="154" spans="2:6" x14ac:dyDescent="0.25">
      <c r="B154" s="18"/>
      <c r="C154" s="18"/>
      <c r="D154" s="18"/>
      <c r="E154" s="18"/>
      <c r="F154" s="18"/>
    </row>
    <row r="155" spans="2:6" x14ac:dyDescent="0.25">
      <c r="B155" s="18"/>
      <c r="C155" s="18"/>
      <c r="D155" s="18"/>
      <c r="E155" s="18"/>
      <c r="F155" s="18"/>
    </row>
    <row r="156" spans="2:6" x14ac:dyDescent="0.25">
      <c r="B156" s="39" t="s">
        <v>23</v>
      </c>
      <c r="C156" s="38"/>
      <c r="D156" s="38"/>
      <c r="E156" s="39" t="s">
        <v>24</v>
      </c>
      <c r="F156" s="38"/>
    </row>
  </sheetData>
  <mergeCells count="20">
    <mergeCell ref="B80:F80"/>
    <mergeCell ref="B1:F1"/>
    <mergeCell ref="B2:F2"/>
    <mergeCell ref="C4:D4"/>
    <mergeCell ref="B38:D38"/>
    <mergeCell ref="E38:F38"/>
    <mergeCell ref="B40:F40"/>
    <mergeCell ref="B41:F41"/>
    <mergeCell ref="C43:D43"/>
    <mergeCell ref="B77:D77"/>
    <mergeCell ref="E77:F77"/>
    <mergeCell ref="B79:F79"/>
    <mergeCell ref="B156:D156"/>
    <mergeCell ref="E156:F156"/>
    <mergeCell ref="C82:D82"/>
    <mergeCell ref="B115:D115"/>
    <mergeCell ref="E115:F115"/>
    <mergeCell ref="B117:F117"/>
    <mergeCell ref="B118:F118"/>
    <mergeCell ref="C120:D120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12"/>
  <sheetViews>
    <sheetView topLeftCell="A307" workbookViewId="0">
      <selection activeCell="E280" sqref="E280"/>
    </sheetView>
  </sheetViews>
  <sheetFormatPr defaultRowHeight="15" x14ac:dyDescent="0.25"/>
  <cols>
    <col min="2" max="2" width="44.7109375" customWidth="1"/>
    <col min="6" max="6" width="11.42578125" bestFit="1" customWidth="1"/>
  </cols>
  <sheetData>
    <row r="1" spans="2:6" ht="31.9" customHeight="1" x14ac:dyDescent="0.25">
      <c r="B1" s="37" t="s">
        <v>207</v>
      </c>
      <c r="C1" s="37"/>
      <c r="D1" s="37"/>
      <c r="E1" s="37"/>
      <c r="F1" s="37"/>
    </row>
    <row r="2" spans="2:6" ht="28.9" customHeight="1" x14ac:dyDescent="0.25">
      <c r="B2" s="37" t="s">
        <v>1</v>
      </c>
      <c r="C2" s="37"/>
      <c r="D2" s="37"/>
      <c r="E2" s="37"/>
      <c r="F2" s="37"/>
    </row>
    <row r="3" spans="2:6" x14ac:dyDescent="0.25">
      <c r="B3" s="16" t="s">
        <v>0</v>
      </c>
      <c r="C3" s="16"/>
      <c r="D3" s="16"/>
      <c r="E3" s="16"/>
      <c r="F3" s="16"/>
    </row>
    <row r="4" spans="2:6" x14ac:dyDescent="0.25">
      <c r="B4" s="17"/>
      <c r="C4" s="38" t="s">
        <v>25</v>
      </c>
      <c r="D4" s="38"/>
      <c r="E4" s="17">
        <v>495.4</v>
      </c>
      <c r="F4" s="17" t="s">
        <v>26</v>
      </c>
    </row>
    <row r="6" spans="2:6" ht="60" x14ac:dyDescent="0.25">
      <c r="B6" s="1" t="s">
        <v>2</v>
      </c>
      <c r="C6" s="1" t="s">
        <v>4</v>
      </c>
      <c r="D6" s="1" t="s">
        <v>3</v>
      </c>
      <c r="E6" s="1" t="s">
        <v>447</v>
      </c>
      <c r="F6" s="1" t="s">
        <v>5</v>
      </c>
    </row>
    <row r="7" spans="2:6" x14ac:dyDescent="0.25">
      <c r="B7" s="1"/>
      <c r="C7" s="1"/>
      <c r="D7" s="1"/>
      <c r="E7" s="1"/>
      <c r="F7" s="1"/>
    </row>
    <row r="8" spans="2:6" x14ac:dyDescent="0.25">
      <c r="B8" s="3" t="s">
        <v>6</v>
      </c>
      <c r="C8" s="1"/>
      <c r="D8" s="1"/>
      <c r="E8" s="1"/>
      <c r="F8" s="1"/>
    </row>
    <row r="9" spans="2:6" x14ac:dyDescent="0.25">
      <c r="B9" s="5" t="s">
        <v>7</v>
      </c>
      <c r="C9" s="1"/>
      <c r="D9" s="1"/>
      <c r="E9" s="1"/>
      <c r="F9" s="5">
        <v>2.0099999999999998</v>
      </c>
    </row>
    <row r="10" spans="2:6" x14ac:dyDescent="0.25">
      <c r="B10" s="5" t="s">
        <v>8</v>
      </c>
      <c r="C10" s="1"/>
      <c r="D10" s="1"/>
      <c r="E10" s="1"/>
      <c r="F10" s="5">
        <v>5.34</v>
      </c>
    </row>
    <row r="11" spans="2:6" x14ac:dyDescent="0.25">
      <c r="B11" s="5" t="s">
        <v>12</v>
      </c>
      <c r="C11" s="1"/>
      <c r="D11" s="1"/>
      <c r="E11" s="1"/>
      <c r="F11" s="5">
        <v>0.34</v>
      </c>
    </row>
    <row r="12" spans="2:6" x14ac:dyDescent="0.25">
      <c r="B12" s="5" t="s">
        <v>13</v>
      </c>
      <c r="C12" s="1"/>
      <c r="D12" s="1"/>
      <c r="E12" s="1"/>
      <c r="F12" s="5">
        <v>0.19</v>
      </c>
    </row>
    <row r="13" spans="2:6" x14ac:dyDescent="0.25">
      <c r="B13" s="5" t="s">
        <v>9</v>
      </c>
      <c r="C13" s="1"/>
      <c r="D13" s="1"/>
      <c r="E13" s="1"/>
      <c r="F13" s="5">
        <v>0.26</v>
      </c>
    </row>
    <row r="14" spans="2:6" x14ac:dyDescent="0.25">
      <c r="B14" s="5" t="s">
        <v>15</v>
      </c>
      <c r="C14" s="1"/>
      <c r="D14" s="1"/>
      <c r="E14" s="1"/>
      <c r="F14" s="5">
        <v>0.01</v>
      </c>
    </row>
    <row r="15" spans="2:6" ht="24.75" x14ac:dyDescent="0.25">
      <c r="B15" s="5" t="s">
        <v>16</v>
      </c>
      <c r="C15" s="1"/>
      <c r="D15" s="1"/>
      <c r="E15" s="1"/>
      <c r="F15" s="5">
        <v>0.28999999999999998</v>
      </c>
    </row>
    <row r="16" spans="2:6" x14ac:dyDescent="0.25">
      <c r="B16" s="5" t="s">
        <v>17</v>
      </c>
      <c r="C16" s="1"/>
      <c r="D16" s="1"/>
      <c r="E16" s="1"/>
      <c r="F16" s="5">
        <v>0.32</v>
      </c>
    </row>
    <row r="17" spans="2:6" x14ac:dyDescent="0.25">
      <c r="B17" s="5" t="s">
        <v>18</v>
      </c>
      <c r="C17" s="1"/>
      <c r="D17" s="1"/>
      <c r="E17" s="1"/>
      <c r="F17" s="5">
        <v>1.97</v>
      </c>
    </row>
    <row r="18" spans="2:6" x14ac:dyDescent="0.25">
      <c r="B18" s="5" t="s">
        <v>19</v>
      </c>
      <c r="C18" s="1"/>
      <c r="D18" s="1"/>
      <c r="E18" s="1"/>
      <c r="F18" s="5">
        <v>3.51</v>
      </c>
    </row>
    <row r="19" spans="2:6" x14ac:dyDescent="0.25">
      <c r="B19" s="10" t="s">
        <v>20</v>
      </c>
      <c r="C19" s="1"/>
      <c r="D19" s="1"/>
      <c r="E19" s="1"/>
      <c r="F19" s="4">
        <f>SUM(F9:F18)</f>
        <v>14.24</v>
      </c>
    </row>
    <row r="20" spans="2:6" x14ac:dyDescent="0.25">
      <c r="B20" s="3" t="s">
        <v>21</v>
      </c>
      <c r="C20" s="1"/>
      <c r="D20" s="1"/>
      <c r="E20" s="1"/>
      <c r="F20" s="1"/>
    </row>
    <row r="21" spans="2:6" x14ac:dyDescent="0.25">
      <c r="B21" s="15" t="s">
        <v>269</v>
      </c>
      <c r="C21" s="1" t="s">
        <v>261</v>
      </c>
      <c r="D21" s="1">
        <v>4</v>
      </c>
      <c r="E21" s="1">
        <v>20</v>
      </c>
      <c r="F21" s="24">
        <f>E21/495.4*1000/12</f>
        <v>3.3642847530614994</v>
      </c>
    </row>
    <row r="22" spans="2:6" x14ac:dyDescent="0.25">
      <c r="B22" s="15" t="s">
        <v>264</v>
      </c>
      <c r="C22" s="1" t="s">
        <v>265</v>
      </c>
      <c r="D22" s="1">
        <v>1</v>
      </c>
      <c r="E22" s="1">
        <v>15</v>
      </c>
      <c r="F22" s="24">
        <f t="shared" ref="F22:F32" si="0">E22/495.4*1000/12</f>
        <v>2.5232135647961242</v>
      </c>
    </row>
    <row r="23" spans="2:6" x14ac:dyDescent="0.25">
      <c r="B23" s="15" t="s">
        <v>278</v>
      </c>
      <c r="C23" s="1" t="s">
        <v>26</v>
      </c>
      <c r="D23" s="1">
        <v>12</v>
      </c>
      <c r="E23" s="1">
        <v>8</v>
      </c>
      <c r="F23" s="24">
        <f t="shared" si="0"/>
        <v>1.3457139012245998</v>
      </c>
    </row>
    <row r="24" spans="2:6" x14ac:dyDescent="0.25">
      <c r="B24" s="15" t="s">
        <v>255</v>
      </c>
      <c r="C24" s="1" t="s">
        <v>26</v>
      </c>
      <c r="D24" s="1">
        <v>8</v>
      </c>
      <c r="E24" s="1">
        <v>20</v>
      </c>
      <c r="F24" s="24">
        <f t="shared" si="0"/>
        <v>3.3642847530614994</v>
      </c>
    </row>
    <row r="25" spans="2:6" x14ac:dyDescent="0.25">
      <c r="B25" s="15" t="s">
        <v>259</v>
      </c>
      <c r="C25" s="1" t="s">
        <v>26</v>
      </c>
      <c r="D25" s="1">
        <v>4</v>
      </c>
      <c r="E25" s="1">
        <v>8</v>
      </c>
      <c r="F25" s="24">
        <f t="shared" si="0"/>
        <v>1.3457139012245998</v>
      </c>
    </row>
    <row r="26" spans="2:6" x14ac:dyDescent="0.25">
      <c r="B26" s="15" t="s">
        <v>287</v>
      </c>
      <c r="C26" s="1" t="s">
        <v>265</v>
      </c>
      <c r="D26" s="1">
        <v>1</v>
      </c>
      <c r="E26" s="1">
        <v>30</v>
      </c>
      <c r="F26" s="24">
        <f t="shared" si="0"/>
        <v>5.0464271295922485</v>
      </c>
    </row>
    <row r="27" spans="2:6" x14ac:dyDescent="0.25">
      <c r="B27" s="1"/>
      <c r="C27" s="1"/>
      <c r="D27" s="1"/>
      <c r="E27" s="1"/>
      <c r="F27" s="24">
        <f t="shared" si="0"/>
        <v>0</v>
      </c>
    </row>
    <row r="28" spans="2:6" x14ac:dyDescent="0.25">
      <c r="B28" s="1"/>
      <c r="C28" s="1"/>
      <c r="D28" s="1"/>
      <c r="E28" s="1"/>
      <c r="F28" s="24">
        <f t="shared" si="0"/>
        <v>0</v>
      </c>
    </row>
    <row r="29" spans="2:6" x14ac:dyDescent="0.25">
      <c r="B29" s="1"/>
      <c r="C29" s="1"/>
      <c r="D29" s="1"/>
      <c r="E29" s="1"/>
      <c r="F29" s="24">
        <f t="shared" si="0"/>
        <v>0</v>
      </c>
    </row>
    <row r="30" spans="2:6" x14ac:dyDescent="0.25">
      <c r="B30" s="1"/>
      <c r="C30" s="1"/>
      <c r="D30" s="1"/>
      <c r="E30" s="1"/>
      <c r="F30" s="24">
        <f t="shared" si="0"/>
        <v>0</v>
      </c>
    </row>
    <row r="31" spans="2:6" x14ac:dyDescent="0.25">
      <c r="B31" s="1"/>
      <c r="C31" s="1"/>
      <c r="D31" s="1"/>
      <c r="E31" s="1"/>
      <c r="F31" s="24">
        <f t="shared" si="0"/>
        <v>0</v>
      </c>
    </row>
    <row r="32" spans="2:6" x14ac:dyDescent="0.25">
      <c r="B32" s="1"/>
      <c r="C32" s="1"/>
      <c r="D32" s="1"/>
      <c r="E32" s="1"/>
      <c r="F32" s="24">
        <f t="shared" si="0"/>
        <v>0</v>
      </c>
    </row>
    <row r="33" spans="2:6" x14ac:dyDescent="0.25">
      <c r="B33" s="10" t="s">
        <v>20</v>
      </c>
      <c r="C33" s="1"/>
      <c r="D33" s="1"/>
      <c r="E33" s="4">
        <f>SUM(E21:E32)</f>
        <v>101</v>
      </c>
      <c r="F33" s="22">
        <f>SUM(F21:F32)</f>
        <v>16.989638002960572</v>
      </c>
    </row>
    <row r="34" spans="2:6" x14ac:dyDescent="0.25">
      <c r="B34" s="4" t="s">
        <v>22</v>
      </c>
      <c r="C34" s="6"/>
      <c r="D34" s="6"/>
      <c r="E34" s="6"/>
      <c r="F34" s="23">
        <f>F19+F33</f>
        <v>31.22963800296057</v>
      </c>
    </row>
    <row r="35" spans="2:6" x14ac:dyDescent="0.25">
      <c r="B35" s="7"/>
      <c r="C35" s="7"/>
      <c r="D35" s="7"/>
      <c r="E35" s="7"/>
      <c r="F35" s="7"/>
    </row>
    <row r="36" spans="2:6" x14ac:dyDescent="0.25">
      <c r="B36" s="18"/>
      <c r="C36" s="18"/>
      <c r="D36" s="18"/>
      <c r="E36" s="18"/>
      <c r="F36" s="18"/>
    </row>
    <row r="37" spans="2:6" x14ac:dyDescent="0.25">
      <c r="B37" s="18"/>
      <c r="C37" s="18"/>
      <c r="D37" s="18"/>
      <c r="E37" s="18"/>
      <c r="F37" s="18"/>
    </row>
    <row r="38" spans="2:6" x14ac:dyDescent="0.25">
      <c r="B38" s="39" t="s">
        <v>23</v>
      </c>
      <c r="C38" s="38"/>
      <c r="D38" s="38"/>
      <c r="E38" s="39" t="s">
        <v>24</v>
      </c>
      <c r="F38" s="38"/>
    </row>
    <row r="40" spans="2:6" ht="28.9" customHeight="1" x14ac:dyDescent="0.25">
      <c r="B40" s="37" t="s">
        <v>208</v>
      </c>
      <c r="C40" s="37"/>
      <c r="D40" s="37"/>
      <c r="E40" s="37"/>
      <c r="F40" s="37"/>
    </row>
    <row r="41" spans="2:6" ht="31.15" customHeight="1" x14ac:dyDescent="0.25">
      <c r="B41" s="37" t="s">
        <v>1</v>
      </c>
      <c r="C41" s="37"/>
      <c r="D41" s="37"/>
      <c r="E41" s="37"/>
      <c r="F41" s="37"/>
    </row>
    <row r="42" spans="2:6" x14ac:dyDescent="0.25">
      <c r="B42" s="16" t="s">
        <v>0</v>
      </c>
      <c r="C42" s="16"/>
      <c r="D42" s="16"/>
      <c r="E42" s="16"/>
      <c r="F42" s="16"/>
    </row>
    <row r="43" spans="2:6" x14ac:dyDescent="0.25">
      <c r="B43" s="17"/>
      <c r="C43" s="38" t="s">
        <v>25</v>
      </c>
      <c r="D43" s="38"/>
      <c r="E43" s="17">
        <v>363.3</v>
      </c>
      <c r="F43" s="17" t="s">
        <v>26</v>
      </c>
    </row>
    <row r="45" spans="2:6" ht="60" x14ac:dyDescent="0.25">
      <c r="B45" s="1" t="s">
        <v>2</v>
      </c>
      <c r="C45" s="1" t="s">
        <v>4</v>
      </c>
      <c r="D45" s="1" t="s">
        <v>3</v>
      </c>
      <c r="E45" s="1" t="s">
        <v>447</v>
      </c>
      <c r="F45" s="1" t="s">
        <v>5</v>
      </c>
    </row>
    <row r="46" spans="2:6" x14ac:dyDescent="0.25">
      <c r="B46" s="1"/>
      <c r="C46" s="1"/>
      <c r="D46" s="1"/>
      <c r="E46" s="1"/>
      <c r="F46" s="1"/>
    </row>
    <row r="47" spans="2:6" x14ac:dyDescent="0.25">
      <c r="B47" s="3" t="s">
        <v>6</v>
      </c>
      <c r="C47" s="1"/>
      <c r="D47" s="1"/>
      <c r="E47" s="1"/>
      <c r="F47" s="1"/>
    </row>
    <row r="48" spans="2:6" x14ac:dyDescent="0.25">
      <c r="B48" s="5" t="s">
        <v>7</v>
      </c>
      <c r="C48" s="1"/>
      <c r="D48" s="1"/>
      <c r="E48" s="1"/>
      <c r="F48" s="5">
        <v>2.0099999999999998</v>
      </c>
    </row>
    <row r="49" spans="2:6" x14ac:dyDescent="0.25">
      <c r="B49" s="5" t="s">
        <v>8</v>
      </c>
      <c r="C49" s="1"/>
      <c r="D49" s="1"/>
      <c r="E49" s="1"/>
      <c r="F49" s="5">
        <v>5.34</v>
      </c>
    </row>
    <row r="50" spans="2:6" x14ac:dyDescent="0.25">
      <c r="B50" s="5" t="s">
        <v>12</v>
      </c>
      <c r="C50" s="1"/>
      <c r="D50" s="1"/>
      <c r="E50" s="1"/>
      <c r="F50" s="5">
        <v>0.34</v>
      </c>
    </row>
    <row r="51" spans="2:6" x14ac:dyDescent="0.25">
      <c r="B51" s="5" t="s">
        <v>13</v>
      </c>
      <c r="C51" s="1"/>
      <c r="D51" s="1"/>
      <c r="E51" s="1"/>
      <c r="F51" s="5">
        <v>0.19</v>
      </c>
    </row>
    <row r="52" spans="2:6" x14ac:dyDescent="0.25">
      <c r="B52" s="5" t="s">
        <v>9</v>
      </c>
      <c r="C52" s="1"/>
      <c r="D52" s="1"/>
      <c r="E52" s="1"/>
      <c r="F52" s="5">
        <v>0.26</v>
      </c>
    </row>
    <row r="53" spans="2:6" x14ac:dyDescent="0.25">
      <c r="B53" s="5" t="s">
        <v>15</v>
      </c>
      <c r="C53" s="1"/>
      <c r="D53" s="1"/>
      <c r="E53" s="1"/>
      <c r="F53" s="5">
        <v>0.01</v>
      </c>
    </row>
    <row r="54" spans="2:6" ht="24.75" x14ac:dyDescent="0.25">
      <c r="B54" s="5" t="s">
        <v>16</v>
      </c>
      <c r="C54" s="1"/>
      <c r="D54" s="1"/>
      <c r="E54" s="1"/>
      <c r="F54" s="5">
        <v>0.28999999999999998</v>
      </c>
    </row>
    <row r="55" spans="2:6" x14ac:dyDescent="0.25">
      <c r="B55" s="5" t="s">
        <v>17</v>
      </c>
      <c r="C55" s="1"/>
      <c r="D55" s="1"/>
      <c r="E55" s="1"/>
      <c r="F55" s="5">
        <v>0.32</v>
      </c>
    </row>
    <row r="56" spans="2:6" x14ac:dyDescent="0.25">
      <c r="B56" s="5" t="s">
        <v>18</v>
      </c>
      <c r="C56" s="1"/>
      <c r="D56" s="1"/>
      <c r="E56" s="1"/>
      <c r="F56" s="5">
        <v>1.97</v>
      </c>
    </row>
    <row r="57" spans="2:6" x14ac:dyDescent="0.25">
      <c r="B57" s="5" t="s">
        <v>19</v>
      </c>
      <c r="C57" s="1"/>
      <c r="D57" s="1"/>
      <c r="E57" s="1"/>
      <c r="F57" s="5">
        <v>3.51</v>
      </c>
    </row>
    <row r="58" spans="2:6" x14ac:dyDescent="0.25">
      <c r="B58" s="10" t="s">
        <v>20</v>
      </c>
      <c r="C58" s="1"/>
      <c r="D58" s="1"/>
      <c r="E58" s="1"/>
      <c r="F58" s="4">
        <f>SUM(F48:F57)</f>
        <v>14.24</v>
      </c>
    </row>
    <row r="59" spans="2:6" x14ac:dyDescent="0.25">
      <c r="B59" s="3" t="s">
        <v>21</v>
      </c>
      <c r="C59" s="1"/>
      <c r="D59" s="1"/>
      <c r="E59" s="1"/>
      <c r="F59" s="1"/>
    </row>
    <row r="60" spans="2:6" x14ac:dyDescent="0.25">
      <c r="B60" s="15" t="s">
        <v>252</v>
      </c>
      <c r="C60" s="1" t="s">
        <v>256</v>
      </c>
      <c r="D60" s="1">
        <v>2</v>
      </c>
      <c r="E60" s="1">
        <v>80</v>
      </c>
      <c r="F60" s="24">
        <f>E60/363.3*1000/12</f>
        <v>18.350307367648409</v>
      </c>
    </row>
    <row r="61" spans="2:6" x14ac:dyDescent="0.25">
      <c r="B61" s="15" t="s">
        <v>264</v>
      </c>
      <c r="C61" s="1" t="s">
        <v>265</v>
      </c>
      <c r="D61" s="1">
        <v>1</v>
      </c>
      <c r="E61" s="1">
        <v>15</v>
      </c>
      <c r="F61" s="24">
        <f t="shared" ref="F61:F71" si="1">E61/363.3*1000/12</f>
        <v>3.4406826314340759</v>
      </c>
    </row>
    <row r="62" spans="2:6" x14ac:dyDescent="0.25">
      <c r="B62" s="15" t="s">
        <v>257</v>
      </c>
      <c r="C62" s="1" t="s">
        <v>26</v>
      </c>
      <c r="D62" s="1">
        <v>14</v>
      </c>
      <c r="E62" s="1">
        <v>17</v>
      </c>
      <c r="F62" s="24">
        <f t="shared" si="1"/>
        <v>3.8994403156252866</v>
      </c>
    </row>
    <row r="63" spans="2:6" x14ac:dyDescent="0.25">
      <c r="B63" s="15" t="s">
        <v>255</v>
      </c>
      <c r="C63" s="1" t="s">
        <v>26</v>
      </c>
      <c r="D63" s="1">
        <v>4</v>
      </c>
      <c r="E63" s="1">
        <v>10</v>
      </c>
      <c r="F63" s="24">
        <f t="shared" si="1"/>
        <v>2.2937884209560511</v>
      </c>
    </row>
    <row r="64" spans="2:6" x14ac:dyDescent="0.25">
      <c r="B64" s="15" t="s">
        <v>259</v>
      </c>
      <c r="C64" s="1" t="s">
        <v>26</v>
      </c>
      <c r="D64" s="1">
        <v>4</v>
      </c>
      <c r="E64" s="1">
        <v>8</v>
      </c>
      <c r="F64" s="24">
        <f t="shared" si="1"/>
        <v>1.8350307367648406</v>
      </c>
    </row>
    <row r="65" spans="2:6" x14ac:dyDescent="0.25">
      <c r="B65" s="1"/>
      <c r="C65" s="1"/>
      <c r="D65" s="1"/>
      <c r="E65" s="1"/>
      <c r="F65" s="24">
        <f t="shared" si="1"/>
        <v>0</v>
      </c>
    </row>
    <row r="66" spans="2:6" x14ac:dyDescent="0.25">
      <c r="B66" s="1"/>
      <c r="C66" s="1"/>
      <c r="D66" s="1"/>
      <c r="E66" s="1"/>
      <c r="F66" s="24">
        <f t="shared" si="1"/>
        <v>0</v>
      </c>
    </row>
    <row r="67" spans="2:6" x14ac:dyDescent="0.25">
      <c r="B67" s="1"/>
      <c r="C67" s="1"/>
      <c r="D67" s="1"/>
      <c r="E67" s="1"/>
      <c r="F67" s="24">
        <f t="shared" si="1"/>
        <v>0</v>
      </c>
    </row>
    <row r="68" spans="2:6" x14ac:dyDescent="0.25">
      <c r="B68" s="1"/>
      <c r="C68" s="1"/>
      <c r="D68" s="1"/>
      <c r="E68" s="1"/>
      <c r="F68" s="24">
        <f t="shared" si="1"/>
        <v>0</v>
      </c>
    </row>
    <row r="69" spans="2:6" x14ac:dyDescent="0.25">
      <c r="B69" s="1"/>
      <c r="C69" s="1"/>
      <c r="D69" s="1"/>
      <c r="E69" s="1"/>
      <c r="F69" s="24">
        <f t="shared" si="1"/>
        <v>0</v>
      </c>
    </row>
    <row r="70" spans="2:6" x14ac:dyDescent="0.25">
      <c r="B70" s="1"/>
      <c r="C70" s="1"/>
      <c r="D70" s="1"/>
      <c r="E70" s="1"/>
      <c r="F70" s="24">
        <f t="shared" si="1"/>
        <v>0</v>
      </c>
    </row>
    <row r="71" spans="2:6" x14ac:dyDescent="0.25">
      <c r="B71" s="1"/>
      <c r="C71" s="1"/>
      <c r="D71" s="1"/>
      <c r="E71" s="1"/>
      <c r="F71" s="24">
        <f t="shared" si="1"/>
        <v>0</v>
      </c>
    </row>
    <row r="72" spans="2:6" x14ac:dyDescent="0.25">
      <c r="B72" s="10" t="s">
        <v>20</v>
      </c>
      <c r="C72" s="1"/>
      <c r="D72" s="1"/>
      <c r="E72" s="4">
        <f>SUM(E60:E71)</f>
        <v>130</v>
      </c>
      <c r="F72" s="22">
        <f>SUM(F60:F71)</f>
        <v>29.819249472428663</v>
      </c>
    </row>
    <row r="73" spans="2:6" x14ac:dyDescent="0.25">
      <c r="B73" s="4" t="s">
        <v>22</v>
      </c>
      <c r="C73" s="6"/>
      <c r="D73" s="6"/>
      <c r="E73" s="6"/>
      <c r="F73" s="23">
        <f>F58+F72</f>
        <v>44.059249472428661</v>
      </c>
    </row>
    <row r="74" spans="2:6" x14ac:dyDescent="0.25">
      <c r="B74" s="7"/>
      <c r="C74" s="7"/>
      <c r="D74" s="7"/>
      <c r="E74" s="7"/>
      <c r="F74" s="7"/>
    </row>
    <row r="75" spans="2:6" x14ac:dyDescent="0.25">
      <c r="B75" s="18"/>
      <c r="C75" s="18"/>
      <c r="D75" s="18"/>
      <c r="E75" s="18"/>
      <c r="F75" s="18"/>
    </row>
    <row r="76" spans="2:6" x14ac:dyDescent="0.25">
      <c r="B76" s="18"/>
      <c r="C76" s="18"/>
      <c r="D76" s="18"/>
      <c r="E76" s="18"/>
      <c r="F76" s="18"/>
    </row>
    <row r="77" spans="2:6" x14ac:dyDescent="0.25">
      <c r="B77" s="39" t="s">
        <v>23</v>
      </c>
      <c r="C77" s="38"/>
      <c r="D77" s="38"/>
      <c r="E77" s="39" t="s">
        <v>24</v>
      </c>
      <c r="F77" s="38"/>
    </row>
    <row r="79" spans="2:6" ht="33.6" customHeight="1" x14ac:dyDescent="0.25">
      <c r="B79" s="37" t="s">
        <v>209</v>
      </c>
      <c r="C79" s="37"/>
      <c r="D79" s="37"/>
      <c r="E79" s="37"/>
      <c r="F79" s="37"/>
    </row>
    <row r="80" spans="2:6" ht="30" customHeight="1" x14ac:dyDescent="0.25">
      <c r="B80" s="37" t="s">
        <v>1</v>
      </c>
      <c r="C80" s="37"/>
      <c r="D80" s="37"/>
      <c r="E80" s="37"/>
      <c r="F80" s="37"/>
    </row>
    <row r="81" spans="2:6" x14ac:dyDescent="0.25">
      <c r="B81" s="16" t="s">
        <v>0</v>
      </c>
      <c r="C81" s="16"/>
      <c r="D81" s="16"/>
      <c r="E81" s="16"/>
      <c r="F81" s="16"/>
    </row>
    <row r="82" spans="2:6" x14ac:dyDescent="0.25">
      <c r="B82" s="17"/>
      <c r="C82" s="38" t="s">
        <v>25</v>
      </c>
      <c r="D82" s="38"/>
      <c r="E82" s="17">
        <v>619.9</v>
      </c>
      <c r="F82" s="17" t="s">
        <v>26</v>
      </c>
    </row>
    <row r="84" spans="2:6" ht="60" x14ac:dyDescent="0.25">
      <c r="B84" s="1" t="s">
        <v>2</v>
      </c>
      <c r="C84" s="1" t="s">
        <v>4</v>
      </c>
      <c r="D84" s="1" t="s">
        <v>3</v>
      </c>
      <c r="E84" s="1" t="s">
        <v>447</v>
      </c>
      <c r="F84" s="1" t="s">
        <v>5</v>
      </c>
    </row>
    <row r="85" spans="2:6" x14ac:dyDescent="0.25">
      <c r="B85" s="1"/>
      <c r="C85" s="1"/>
      <c r="D85" s="1"/>
      <c r="E85" s="1"/>
      <c r="F85" s="1"/>
    </row>
    <row r="86" spans="2:6" x14ac:dyDescent="0.25">
      <c r="B86" s="3" t="s">
        <v>6</v>
      </c>
      <c r="C86" s="1"/>
      <c r="D86" s="1"/>
      <c r="E86" s="1"/>
      <c r="F86" s="1"/>
    </row>
    <row r="87" spans="2:6" x14ac:dyDescent="0.25">
      <c r="B87" s="5" t="s">
        <v>7</v>
      </c>
      <c r="C87" s="1"/>
      <c r="D87" s="1"/>
      <c r="E87" s="1"/>
      <c r="F87" s="5">
        <v>2.0099999999999998</v>
      </c>
    </row>
    <row r="88" spans="2:6" x14ac:dyDescent="0.25">
      <c r="B88" s="5" t="s">
        <v>8</v>
      </c>
      <c r="C88" s="1"/>
      <c r="D88" s="1"/>
      <c r="E88" s="1"/>
      <c r="F88" s="5">
        <v>5.34</v>
      </c>
    </row>
    <row r="89" spans="2:6" x14ac:dyDescent="0.25">
      <c r="B89" s="5" t="s">
        <v>12</v>
      </c>
      <c r="C89" s="1"/>
      <c r="D89" s="1"/>
      <c r="E89" s="1"/>
      <c r="F89" s="5">
        <v>0.34</v>
      </c>
    </row>
    <row r="90" spans="2:6" x14ac:dyDescent="0.25">
      <c r="B90" s="5" t="s">
        <v>13</v>
      </c>
      <c r="C90" s="1"/>
      <c r="D90" s="1"/>
      <c r="E90" s="1"/>
      <c r="F90" s="5">
        <v>0.19</v>
      </c>
    </row>
    <row r="91" spans="2:6" x14ac:dyDescent="0.25">
      <c r="B91" s="5" t="s">
        <v>9</v>
      </c>
      <c r="C91" s="1"/>
      <c r="D91" s="1"/>
      <c r="E91" s="1"/>
      <c r="F91" s="5">
        <v>0.26</v>
      </c>
    </row>
    <row r="92" spans="2:6" x14ac:dyDescent="0.25">
      <c r="B92" s="5" t="s">
        <v>15</v>
      </c>
      <c r="C92" s="1"/>
      <c r="D92" s="1"/>
      <c r="E92" s="1"/>
      <c r="F92" s="5">
        <v>0.01</v>
      </c>
    </row>
    <row r="93" spans="2:6" ht="24.75" x14ac:dyDescent="0.25">
      <c r="B93" s="5" t="s">
        <v>16</v>
      </c>
      <c r="C93" s="1"/>
      <c r="D93" s="1"/>
      <c r="E93" s="1"/>
      <c r="F93" s="5">
        <v>0.28999999999999998</v>
      </c>
    </row>
    <row r="94" spans="2:6" x14ac:dyDescent="0.25">
      <c r="B94" s="5" t="s">
        <v>17</v>
      </c>
      <c r="C94" s="1"/>
      <c r="D94" s="1"/>
      <c r="E94" s="1"/>
      <c r="F94" s="5">
        <v>0.32</v>
      </c>
    </row>
    <row r="95" spans="2:6" x14ac:dyDescent="0.25">
      <c r="B95" s="5" t="s">
        <v>18</v>
      </c>
      <c r="C95" s="1"/>
      <c r="D95" s="1"/>
      <c r="E95" s="1"/>
      <c r="F95" s="5">
        <v>1.97</v>
      </c>
    </row>
    <row r="96" spans="2:6" x14ac:dyDescent="0.25">
      <c r="B96" s="5" t="s">
        <v>19</v>
      </c>
      <c r="C96" s="1"/>
      <c r="D96" s="1"/>
      <c r="E96" s="1"/>
      <c r="F96" s="5">
        <v>3.51</v>
      </c>
    </row>
    <row r="97" spans="2:6" x14ac:dyDescent="0.25">
      <c r="B97" s="10" t="s">
        <v>20</v>
      </c>
      <c r="C97" s="1"/>
      <c r="D97" s="1"/>
      <c r="E97" s="1"/>
      <c r="F97" s="4">
        <f>SUM(F87:F96)</f>
        <v>14.24</v>
      </c>
    </row>
    <row r="98" spans="2:6" x14ac:dyDescent="0.25">
      <c r="B98" s="3" t="s">
        <v>21</v>
      </c>
      <c r="C98" s="1"/>
      <c r="D98" s="1"/>
      <c r="E98" s="1"/>
      <c r="F98" s="1"/>
    </row>
    <row r="99" spans="2:6" x14ac:dyDescent="0.25">
      <c r="B99" s="15" t="s">
        <v>264</v>
      </c>
      <c r="C99" s="1" t="s">
        <v>265</v>
      </c>
      <c r="D99" s="1">
        <v>1</v>
      </c>
      <c r="E99" s="1">
        <v>15</v>
      </c>
      <c r="F99" s="24">
        <f>E99/619.9*1000/12</f>
        <v>2.0164542668172287</v>
      </c>
    </row>
    <row r="100" spans="2:6" x14ac:dyDescent="0.25">
      <c r="B100" s="15" t="s">
        <v>278</v>
      </c>
      <c r="C100" s="1" t="s">
        <v>26</v>
      </c>
      <c r="D100" s="1">
        <v>18</v>
      </c>
      <c r="E100" s="1">
        <v>10</v>
      </c>
      <c r="F100" s="24">
        <f t="shared" ref="F100:F110" si="2">E100/619.9*1000/12</f>
        <v>1.3443028445448189</v>
      </c>
    </row>
    <row r="101" spans="2:6" x14ac:dyDescent="0.25">
      <c r="B101" s="15" t="s">
        <v>253</v>
      </c>
      <c r="C101" s="1" t="s">
        <v>26</v>
      </c>
      <c r="D101" s="1">
        <v>90</v>
      </c>
      <c r="E101" s="1">
        <v>65</v>
      </c>
      <c r="F101" s="24">
        <f t="shared" si="2"/>
        <v>8.7379684895413252</v>
      </c>
    </row>
    <row r="102" spans="2:6" x14ac:dyDescent="0.25">
      <c r="B102" s="15" t="s">
        <v>280</v>
      </c>
      <c r="C102" s="1" t="s">
        <v>26</v>
      </c>
      <c r="D102" s="1">
        <v>16</v>
      </c>
      <c r="E102" s="1">
        <v>10</v>
      </c>
      <c r="F102" s="24">
        <f t="shared" si="2"/>
        <v>1.3443028445448189</v>
      </c>
    </row>
    <row r="103" spans="2:6" x14ac:dyDescent="0.25">
      <c r="B103" s="15" t="s">
        <v>254</v>
      </c>
      <c r="C103" s="1" t="s">
        <v>26</v>
      </c>
      <c r="D103" s="1">
        <v>102</v>
      </c>
      <c r="E103" s="1">
        <v>62</v>
      </c>
      <c r="F103" s="24">
        <f t="shared" si="2"/>
        <v>8.3346776361778776</v>
      </c>
    </row>
    <row r="104" spans="2:6" x14ac:dyDescent="0.25">
      <c r="B104" s="15" t="s">
        <v>255</v>
      </c>
      <c r="C104" s="1" t="s">
        <v>26</v>
      </c>
      <c r="D104" s="1">
        <v>6</v>
      </c>
      <c r="E104" s="1">
        <v>15</v>
      </c>
      <c r="F104" s="24">
        <f t="shared" si="2"/>
        <v>2.0164542668172287</v>
      </c>
    </row>
    <row r="105" spans="2:6" x14ac:dyDescent="0.25">
      <c r="B105" s="15" t="s">
        <v>259</v>
      </c>
      <c r="C105" s="1" t="s">
        <v>26</v>
      </c>
      <c r="D105" s="1">
        <v>8</v>
      </c>
      <c r="E105" s="1">
        <v>16</v>
      </c>
      <c r="F105" s="24">
        <f t="shared" si="2"/>
        <v>2.1508845512717105</v>
      </c>
    </row>
    <row r="106" spans="2:6" x14ac:dyDescent="0.25">
      <c r="B106" s="1"/>
      <c r="C106" s="1"/>
      <c r="D106" s="1"/>
      <c r="E106" s="1"/>
      <c r="F106" s="24">
        <f t="shared" si="2"/>
        <v>0</v>
      </c>
    </row>
    <row r="107" spans="2:6" x14ac:dyDescent="0.25">
      <c r="B107" s="1"/>
      <c r="C107" s="1"/>
      <c r="D107" s="1"/>
      <c r="E107" s="1"/>
      <c r="F107" s="24">
        <f t="shared" si="2"/>
        <v>0</v>
      </c>
    </row>
    <row r="108" spans="2:6" x14ac:dyDescent="0.25">
      <c r="B108" s="1"/>
      <c r="C108" s="1"/>
      <c r="D108" s="1"/>
      <c r="E108" s="1"/>
      <c r="F108" s="24">
        <f t="shared" si="2"/>
        <v>0</v>
      </c>
    </row>
    <row r="109" spans="2:6" x14ac:dyDescent="0.25">
      <c r="B109" s="1"/>
      <c r="C109" s="1"/>
      <c r="D109" s="1"/>
      <c r="E109" s="1"/>
      <c r="F109" s="24">
        <f t="shared" si="2"/>
        <v>0</v>
      </c>
    </row>
    <row r="110" spans="2:6" x14ac:dyDescent="0.25">
      <c r="B110" s="1"/>
      <c r="C110" s="1"/>
      <c r="D110" s="1"/>
      <c r="E110" s="1"/>
      <c r="F110" s="24">
        <f t="shared" si="2"/>
        <v>0</v>
      </c>
    </row>
    <row r="111" spans="2:6" x14ac:dyDescent="0.25">
      <c r="B111" s="10" t="s">
        <v>20</v>
      </c>
      <c r="C111" s="1"/>
      <c r="D111" s="1"/>
      <c r="E111" s="4">
        <f>SUM(E99:E110)</f>
        <v>193</v>
      </c>
      <c r="F111" s="22">
        <f>SUM(F99:F110)</f>
        <v>25.945044899715008</v>
      </c>
    </row>
    <row r="112" spans="2:6" x14ac:dyDescent="0.25">
      <c r="B112" s="4" t="s">
        <v>22</v>
      </c>
      <c r="C112" s="6"/>
      <c r="D112" s="6"/>
      <c r="E112" s="6"/>
      <c r="F112" s="23">
        <f>F97+F111</f>
        <v>40.18504489971501</v>
      </c>
    </row>
    <row r="113" spans="2:6" x14ac:dyDescent="0.25">
      <c r="B113" s="7"/>
      <c r="C113" s="7"/>
      <c r="D113" s="7"/>
      <c r="E113" s="7"/>
      <c r="F113" s="7"/>
    </row>
    <row r="114" spans="2:6" x14ac:dyDescent="0.25">
      <c r="B114" s="18"/>
      <c r="C114" s="18"/>
      <c r="D114" s="18"/>
      <c r="E114" s="18"/>
      <c r="F114" s="18"/>
    </row>
    <row r="115" spans="2:6" x14ac:dyDescent="0.25">
      <c r="B115" s="18"/>
      <c r="C115" s="18"/>
      <c r="D115" s="18"/>
      <c r="E115" s="18"/>
      <c r="F115" s="18"/>
    </row>
    <row r="116" spans="2:6" x14ac:dyDescent="0.25">
      <c r="B116" s="39" t="s">
        <v>23</v>
      </c>
      <c r="C116" s="38"/>
      <c r="D116" s="38"/>
      <c r="E116" s="39" t="s">
        <v>24</v>
      </c>
      <c r="F116" s="38"/>
    </row>
    <row r="118" spans="2:6" ht="27" customHeight="1" x14ac:dyDescent="0.25">
      <c r="B118" s="37" t="s">
        <v>210</v>
      </c>
      <c r="C118" s="37"/>
      <c r="D118" s="37"/>
      <c r="E118" s="37"/>
      <c r="F118" s="37"/>
    </row>
    <row r="119" spans="2:6" ht="26.45" customHeight="1" x14ac:dyDescent="0.25">
      <c r="B119" s="37" t="s">
        <v>1</v>
      </c>
      <c r="C119" s="37"/>
      <c r="D119" s="37"/>
      <c r="E119" s="37"/>
      <c r="F119" s="37"/>
    </row>
    <row r="120" spans="2:6" x14ac:dyDescent="0.25">
      <c r="B120" s="16" t="s">
        <v>0</v>
      </c>
      <c r="C120" s="16"/>
      <c r="D120" s="16"/>
      <c r="E120" s="16"/>
      <c r="F120" s="16"/>
    </row>
    <row r="121" spans="2:6" x14ac:dyDescent="0.25">
      <c r="B121" s="17"/>
      <c r="C121" s="38" t="s">
        <v>25</v>
      </c>
      <c r="D121" s="38"/>
      <c r="E121" s="17">
        <v>343.8</v>
      </c>
      <c r="F121" s="17" t="s">
        <v>26</v>
      </c>
    </row>
    <row r="123" spans="2:6" ht="60" x14ac:dyDescent="0.25">
      <c r="B123" s="1" t="s">
        <v>2</v>
      </c>
      <c r="C123" s="1" t="s">
        <v>4</v>
      </c>
      <c r="D123" s="1" t="s">
        <v>3</v>
      </c>
      <c r="E123" s="1" t="s">
        <v>447</v>
      </c>
      <c r="F123" s="1" t="s">
        <v>5</v>
      </c>
    </row>
    <row r="124" spans="2:6" x14ac:dyDescent="0.25">
      <c r="B124" s="1"/>
      <c r="C124" s="1"/>
      <c r="D124" s="1"/>
      <c r="E124" s="1"/>
      <c r="F124" s="1"/>
    </row>
    <row r="125" spans="2:6" x14ac:dyDescent="0.25">
      <c r="B125" s="3" t="s">
        <v>6</v>
      </c>
      <c r="C125" s="1"/>
      <c r="D125" s="1"/>
      <c r="E125" s="1"/>
      <c r="F125" s="1"/>
    </row>
    <row r="126" spans="2:6" x14ac:dyDescent="0.25">
      <c r="B126" s="5" t="s">
        <v>7</v>
      </c>
      <c r="C126" s="1"/>
      <c r="D126" s="1"/>
      <c r="E126" s="1"/>
      <c r="F126" s="5">
        <v>2.0099999999999998</v>
      </c>
    </row>
    <row r="127" spans="2:6" x14ac:dyDescent="0.25">
      <c r="B127" s="5" t="s">
        <v>8</v>
      </c>
      <c r="C127" s="1"/>
      <c r="D127" s="1"/>
      <c r="E127" s="1"/>
      <c r="F127" s="5">
        <v>5.34</v>
      </c>
    </row>
    <row r="128" spans="2:6" x14ac:dyDescent="0.25">
      <c r="B128" s="5" t="s">
        <v>12</v>
      </c>
      <c r="C128" s="1"/>
      <c r="D128" s="1"/>
      <c r="E128" s="1"/>
      <c r="F128" s="5">
        <v>0.34</v>
      </c>
    </row>
    <row r="129" spans="2:6" x14ac:dyDescent="0.25">
      <c r="B129" s="5" t="s">
        <v>13</v>
      </c>
      <c r="C129" s="1"/>
      <c r="D129" s="1"/>
      <c r="E129" s="1"/>
      <c r="F129" s="5">
        <v>0.19</v>
      </c>
    </row>
    <row r="130" spans="2:6" x14ac:dyDescent="0.25">
      <c r="B130" s="5" t="s">
        <v>9</v>
      </c>
      <c r="C130" s="1"/>
      <c r="D130" s="1"/>
      <c r="E130" s="1"/>
      <c r="F130" s="5">
        <v>0.26</v>
      </c>
    </row>
    <row r="131" spans="2:6" x14ac:dyDescent="0.25">
      <c r="B131" s="5" t="s">
        <v>15</v>
      </c>
      <c r="C131" s="1"/>
      <c r="D131" s="1"/>
      <c r="E131" s="1"/>
      <c r="F131" s="5">
        <v>0.01</v>
      </c>
    </row>
    <row r="132" spans="2:6" ht="24.75" x14ac:dyDescent="0.25">
      <c r="B132" s="5" t="s">
        <v>16</v>
      </c>
      <c r="C132" s="1"/>
      <c r="D132" s="1"/>
      <c r="E132" s="1"/>
      <c r="F132" s="5">
        <v>0.28999999999999998</v>
      </c>
    </row>
    <row r="133" spans="2:6" x14ac:dyDescent="0.25">
      <c r="B133" s="5" t="s">
        <v>17</v>
      </c>
      <c r="C133" s="1"/>
      <c r="D133" s="1"/>
      <c r="E133" s="1"/>
      <c r="F133" s="5">
        <v>0.32</v>
      </c>
    </row>
    <row r="134" spans="2:6" x14ac:dyDescent="0.25">
      <c r="B134" s="5" t="s">
        <v>18</v>
      </c>
      <c r="C134" s="1"/>
      <c r="D134" s="1"/>
      <c r="E134" s="1"/>
      <c r="F134" s="5">
        <v>1.97</v>
      </c>
    </row>
    <row r="135" spans="2:6" x14ac:dyDescent="0.25">
      <c r="B135" s="5" t="s">
        <v>19</v>
      </c>
      <c r="C135" s="1"/>
      <c r="D135" s="1"/>
      <c r="E135" s="1"/>
      <c r="F135" s="5">
        <v>3.51</v>
      </c>
    </row>
    <row r="136" spans="2:6" x14ac:dyDescent="0.25">
      <c r="B136" s="10" t="s">
        <v>20</v>
      </c>
      <c r="C136" s="1"/>
      <c r="D136" s="1"/>
      <c r="E136" s="1"/>
      <c r="F136" s="4">
        <f>SUM(F126:F135)</f>
        <v>14.24</v>
      </c>
    </row>
    <row r="137" spans="2:6" x14ac:dyDescent="0.25">
      <c r="B137" s="3" t="s">
        <v>21</v>
      </c>
      <c r="C137" s="1"/>
      <c r="D137" s="1"/>
      <c r="E137" s="1"/>
      <c r="F137" s="1"/>
    </row>
    <row r="138" spans="2:6" x14ac:dyDescent="0.25">
      <c r="B138" s="15" t="s">
        <v>252</v>
      </c>
      <c r="C138" s="1" t="s">
        <v>256</v>
      </c>
      <c r="D138" s="1">
        <v>2</v>
      </c>
      <c r="E138" s="1">
        <v>80</v>
      </c>
      <c r="F138" s="24">
        <f>E138/343.8*1000/12</f>
        <v>19.391118867558657</v>
      </c>
    </row>
    <row r="139" spans="2:6" x14ac:dyDescent="0.25">
      <c r="B139" s="15" t="s">
        <v>264</v>
      </c>
      <c r="C139" s="1" t="s">
        <v>265</v>
      </c>
      <c r="D139" s="1">
        <v>1</v>
      </c>
      <c r="E139" s="1">
        <v>15</v>
      </c>
      <c r="F139" s="24">
        <f t="shared" ref="F139:F149" si="3">E139/343.8*1000/12</f>
        <v>3.6358347876672483</v>
      </c>
    </row>
    <row r="140" spans="2:6" x14ac:dyDescent="0.25">
      <c r="B140" s="15" t="s">
        <v>268</v>
      </c>
      <c r="C140" s="1" t="s">
        <v>26</v>
      </c>
      <c r="D140" s="1">
        <v>80</v>
      </c>
      <c r="E140" s="1">
        <v>48</v>
      </c>
      <c r="F140" s="24">
        <f t="shared" si="3"/>
        <v>11.634671320535196</v>
      </c>
    </row>
    <row r="141" spans="2:6" x14ac:dyDescent="0.25">
      <c r="B141" s="15" t="s">
        <v>255</v>
      </c>
      <c r="C141" s="1" t="s">
        <v>26</v>
      </c>
      <c r="D141" s="1">
        <v>6</v>
      </c>
      <c r="E141" s="1">
        <v>15</v>
      </c>
      <c r="F141" s="24">
        <f t="shared" si="3"/>
        <v>3.6358347876672483</v>
      </c>
    </row>
    <row r="142" spans="2:6" x14ac:dyDescent="0.25">
      <c r="B142" s="15" t="s">
        <v>287</v>
      </c>
      <c r="C142" s="1" t="s">
        <v>265</v>
      </c>
      <c r="D142" s="1">
        <v>1</v>
      </c>
      <c r="E142" s="1">
        <v>30</v>
      </c>
      <c r="F142" s="24">
        <f t="shared" si="3"/>
        <v>7.2716695753344966</v>
      </c>
    </row>
    <row r="143" spans="2:6" x14ac:dyDescent="0.25">
      <c r="B143" s="26" t="s">
        <v>294</v>
      </c>
      <c r="C143" s="1" t="s">
        <v>26</v>
      </c>
      <c r="D143" s="1">
        <v>30</v>
      </c>
      <c r="E143" s="1">
        <v>15</v>
      </c>
      <c r="F143" s="24">
        <f t="shared" si="3"/>
        <v>3.6358347876672483</v>
      </c>
    </row>
    <row r="144" spans="2:6" x14ac:dyDescent="0.25">
      <c r="B144" s="1"/>
      <c r="C144" s="1"/>
      <c r="D144" s="1"/>
      <c r="E144" s="1"/>
      <c r="F144" s="24">
        <f t="shared" si="3"/>
        <v>0</v>
      </c>
    </row>
    <row r="145" spans="2:6" x14ac:dyDescent="0.25">
      <c r="B145" s="1"/>
      <c r="C145" s="1"/>
      <c r="D145" s="1"/>
      <c r="E145" s="1"/>
      <c r="F145" s="24">
        <f t="shared" si="3"/>
        <v>0</v>
      </c>
    </row>
    <row r="146" spans="2:6" x14ac:dyDescent="0.25">
      <c r="B146" s="1"/>
      <c r="C146" s="1"/>
      <c r="D146" s="1"/>
      <c r="E146" s="1"/>
      <c r="F146" s="24">
        <f t="shared" si="3"/>
        <v>0</v>
      </c>
    </row>
    <row r="147" spans="2:6" x14ac:dyDescent="0.25">
      <c r="B147" s="1"/>
      <c r="C147" s="1"/>
      <c r="D147" s="1"/>
      <c r="E147" s="1"/>
      <c r="F147" s="24">
        <f t="shared" si="3"/>
        <v>0</v>
      </c>
    </row>
    <row r="148" spans="2:6" x14ac:dyDescent="0.25">
      <c r="B148" s="1"/>
      <c r="C148" s="1"/>
      <c r="D148" s="1"/>
      <c r="E148" s="1"/>
      <c r="F148" s="24">
        <f t="shared" si="3"/>
        <v>0</v>
      </c>
    </row>
    <row r="149" spans="2:6" x14ac:dyDescent="0.25">
      <c r="B149" s="1"/>
      <c r="C149" s="1"/>
      <c r="D149" s="1"/>
      <c r="E149" s="1"/>
      <c r="F149" s="24">
        <f t="shared" si="3"/>
        <v>0</v>
      </c>
    </row>
    <row r="150" spans="2:6" x14ac:dyDescent="0.25">
      <c r="B150" s="10" t="s">
        <v>20</v>
      </c>
      <c r="C150" s="1"/>
      <c r="D150" s="1"/>
      <c r="E150" s="4">
        <f>SUM(E138:E149)</f>
        <v>203</v>
      </c>
      <c r="F150" s="22">
        <f>SUM(F138:F149)</f>
        <v>49.204964126430099</v>
      </c>
    </row>
    <row r="151" spans="2:6" x14ac:dyDescent="0.25">
      <c r="B151" s="4" t="s">
        <v>22</v>
      </c>
      <c r="C151" s="6"/>
      <c r="D151" s="6"/>
      <c r="E151" s="6"/>
      <c r="F151" s="23">
        <f>F136+F150</f>
        <v>63.444964126430101</v>
      </c>
    </row>
    <row r="152" spans="2:6" x14ac:dyDescent="0.25">
      <c r="B152" s="7"/>
      <c r="C152" s="7"/>
      <c r="D152" s="7"/>
      <c r="E152" s="7"/>
      <c r="F152" s="7"/>
    </row>
    <row r="153" spans="2:6" x14ac:dyDescent="0.25">
      <c r="B153" s="18"/>
      <c r="C153" s="18"/>
      <c r="D153" s="18"/>
      <c r="E153" s="18"/>
      <c r="F153" s="18"/>
    </row>
    <row r="154" spans="2:6" x14ac:dyDescent="0.25">
      <c r="B154" s="18"/>
      <c r="C154" s="18"/>
      <c r="D154" s="18"/>
      <c r="E154" s="18"/>
      <c r="F154" s="18"/>
    </row>
    <row r="155" spans="2:6" x14ac:dyDescent="0.25">
      <c r="B155" s="39" t="s">
        <v>23</v>
      </c>
      <c r="C155" s="38"/>
      <c r="D155" s="38"/>
      <c r="E155" s="39" t="s">
        <v>24</v>
      </c>
      <c r="F155" s="38"/>
    </row>
    <row r="157" spans="2:6" ht="30" customHeight="1" x14ac:dyDescent="0.25">
      <c r="B157" s="37" t="s">
        <v>211</v>
      </c>
      <c r="C157" s="37"/>
      <c r="D157" s="37"/>
      <c r="E157" s="37"/>
      <c r="F157" s="37"/>
    </row>
    <row r="158" spans="2:6" ht="27.6" customHeight="1" x14ac:dyDescent="0.25">
      <c r="B158" s="37" t="s">
        <v>1</v>
      </c>
      <c r="C158" s="37"/>
      <c r="D158" s="37"/>
      <c r="E158" s="37"/>
      <c r="F158" s="37"/>
    </row>
    <row r="159" spans="2:6" x14ac:dyDescent="0.25">
      <c r="B159" s="16" t="s">
        <v>0</v>
      </c>
      <c r="C159" s="16"/>
      <c r="D159" s="16"/>
      <c r="E159" s="16"/>
      <c r="F159" s="16"/>
    </row>
    <row r="160" spans="2:6" x14ac:dyDescent="0.25">
      <c r="B160" s="17"/>
      <c r="C160" s="38" t="s">
        <v>25</v>
      </c>
      <c r="D160" s="38"/>
      <c r="E160" s="17">
        <v>353.8</v>
      </c>
      <c r="F160" s="17" t="s">
        <v>26</v>
      </c>
    </row>
    <row r="162" spans="2:6" ht="60" x14ac:dyDescent="0.25">
      <c r="B162" s="1" t="s">
        <v>2</v>
      </c>
      <c r="C162" s="1" t="s">
        <v>4</v>
      </c>
      <c r="D162" s="1" t="s">
        <v>3</v>
      </c>
      <c r="E162" s="1" t="s">
        <v>447</v>
      </c>
      <c r="F162" s="1" t="s">
        <v>5</v>
      </c>
    </row>
    <row r="163" spans="2:6" x14ac:dyDescent="0.25">
      <c r="B163" s="1"/>
      <c r="C163" s="1"/>
      <c r="D163" s="1"/>
      <c r="E163" s="1"/>
      <c r="F163" s="1"/>
    </row>
    <row r="164" spans="2:6" x14ac:dyDescent="0.25">
      <c r="B164" s="3" t="s">
        <v>6</v>
      </c>
      <c r="C164" s="1"/>
      <c r="D164" s="1"/>
      <c r="E164" s="1"/>
      <c r="F164" s="1"/>
    </row>
    <row r="165" spans="2:6" x14ac:dyDescent="0.25">
      <c r="B165" s="5" t="s">
        <v>7</v>
      </c>
      <c r="C165" s="1"/>
      <c r="D165" s="1"/>
      <c r="E165" s="1"/>
      <c r="F165" s="5">
        <v>2.0099999999999998</v>
      </c>
    </row>
    <row r="166" spans="2:6" x14ac:dyDescent="0.25">
      <c r="B166" s="5" t="s">
        <v>8</v>
      </c>
      <c r="C166" s="1"/>
      <c r="D166" s="1"/>
      <c r="E166" s="1"/>
      <c r="F166" s="5">
        <v>5.34</v>
      </c>
    </row>
    <row r="167" spans="2:6" x14ac:dyDescent="0.25">
      <c r="B167" s="5" t="s">
        <v>12</v>
      </c>
      <c r="C167" s="1"/>
      <c r="D167" s="1"/>
      <c r="E167" s="1"/>
      <c r="F167" s="5">
        <v>0.34</v>
      </c>
    </row>
    <row r="168" spans="2:6" x14ac:dyDescent="0.25">
      <c r="B168" s="5" t="s">
        <v>13</v>
      </c>
      <c r="C168" s="1"/>
      <c r="D168" s="1"/>
      <c r="E168" s="1"/>
      <c r="F168" s="5">
        <v>0.19</v>
      </c>
    </row>
    <row r="169" spans="2:6" x14ac:dyDescent="0.25">
      <c r="B169" s="5" t="s">
        <v>9</v>
      </c>
      <c r="C169" s="1"/>
      <c r="D169" s="1"/>
      <c r="E169" s="1"/>
      <c r="F169" s="5">
        <v>0.26</v>
      </c>
    </row>
    <row r="170" spans="2:6" x14ac:dyDescent="0.25">
      <c r="B170" s="5" t="s">
        <v>15</v>
      </c>
      <c r="C170" s="1"/>
      <c r="D170" s="1"/>
      <c r="E170" s="1"/>
      <c r="F170" s="5">
        <v>0.01</v>
      </c>
    </row>
    <row r="171" spans="2:6" ht="24.75" x14ac:dyDescent="0.25">
      <c r="B171" s="5" t="s">
        <v>16</v>
      </c>
      <c r="C171" s="1"/>
      <c r="D171" s="1"/>
      <c r="E171" s="1"/>
      <c r="F171" s="5">
        <v>0.28999999999999998</v>
      </c>
    </row>
    <row r="172" spans="2:6" x14ac:dyDescent="0.25">
      <c r="B172" s="5" t="s">
        <v>17</v>
      </c>
      <c r="C172" s="1"/>
      <c r="D172" s="1"/>
      <c r="E172" s="1"/>
      <c r="F172" s="5">
        <v>0.32</v>
      </c>
    </row>
    <row r="173" spans="2:6" x14ac:dyDescent="0.25">
      <c r="B173" s="5" t="s">
        <v>18</v>
      </c>
      <c r="C173" s="1"/>
      <c r="D173" s="1"/>
      <c r="E173" s="1"/>
      <c r="F173" s="5">
        <v>1.97</v>
      </c>
    </row>
    <row r="174" spans="2:6" x14ac:dyDescent="0.25">
      <c r="B174" s="5" t="s">
        <v>19</v>
      </c>
      <c r="C174" s="1"/>
      <c r="D174" s="1"/>
      <c r="E174" s="1"/>
      <c r="F174" s="5">
        <v>3.51</v>
      </c>
    </row>
    <row r="175" spans="2:6" x14ac:dyDescent="0.25">
      <c r="B175" s="10" t="s">
        <v>20</v>
      </c>
      <c r="C175" s="1"/>
      <c r="D175" s="1"/>
      <c r="E175" s="1"/>
      <c r="F175" s="4">
        <f>SUM(F165:F174)</f>
        <v>14.24</v>
      </c>
    </row>
    <row r="176" spans="2:6" x14ac:dyDescent="0.25">
      <c r="B176" s="3" t="s">
        <v>21</v>
      </c>
      <c r="C176" s="1"/>
      <c r="D176" s="1"/>
      <c r="E176" s="1"/>
      <c r="F176" s="1"/>
    </row>
    <row r="177" spans="2:6" x14ac:dyDescent="0.25">
      <c r="B177" s="15" t="s">
        <v>252</v>
      </c>
      <c r="C177" s="1" t="s">
        <v>295</v>
      </c>
      <c r="D177" s="1">
        <v>2</v>
      </c>
      <c r="E177" s="1">
        <v>80</v>
      </c>
      <c r="F177" s="24">
        <f>E177/353.8*1000/12</f>
        <v>18.84303749764462</v>
      </c>
    </row>
    <row r="178" spans="2:6" x14ac:dyDescent="0.25">
      <c r="B178" s="15" t="s">
        <v>269</v>
      </c>
      <c r="C178" s="1" t="s">
        <v>296</v>
      </c>
      <c r="D178" s="1">
        <v>9</v>
      </c>
      <c r="E178" s="1">
        <v>45</v>
      </c>
      <c r="F178" s="24">
        <f t="shared" ref="F178:F188" si="4">E178/353.8*1000/12</f>
        <v>10.599208592425098</v>
      </c>
    </row>
    <row r="179" spans="2:6" x14ac:dyDescent="0.25">
      <c r="B179" s="15" t="s">
        <v>264</v>
      </c>
      <c r="C179" s="1" t="s">
        <v>265</v>
      </c>
      <c r="D179" s="1">
        <v>1</v>
      </c>
      <c r="E179" s="1">
        <v>15</v>
      </c>
      <c r="F179" s="24">
        <f t="shared" si="4"/>
        <v>3.5330695308083659</v>
      </c>
    </row>
    <row r="180" spans="2:6" x14ac:dyDescent="0.25">
      <c r="B180" s="15" t="s">
        <v>254</v>
      </c>
      <c r="C180" s="1" t="s">
        <v>297</v>
      </c>
      <c r="D180" s="1">
        <v>80</v>
      </c>
      <c r="E180" s="1">
        <v>50</v>
      </c>
      <c r="F180" s="24">
        <f t="shared" si="4"/>
        <v>11.776898436027887</v>
      </c>
    </row>
    <row r="181" spans="2:6" x14ac:dyDescent="0.25">
      <c r="B181" s="15" t="s">
        <v>257</v>
      </c>
      <c r="C181" s="1" t="s">
        <v>297</v>
      </c>
      <c r="D181" s="1">
        <v>160</v>
      </c>
      <c r="E181" s="1">
        <v>195</v>
      </c>
      <c r="F181" s="24">
        <f t="shared" si="4"/>
        <v>45.929903900508769</v>
      </c>
    </row>
    <row r="182" spans="2:6" x14ac:dyDescent="0.25">
      <c r="B182" s="15" t="s">
        <v>255</v>
      </c>
      <c r="C182" s="1" t="s">
        <v>297</v>
      </c>
      <c r="D182" s="1">
        <v>6</v>
      </c>
      <c r="E182" s="1">
        <v>15</v>
      </c>
      <c r="F182" s="24">
        <f t="shared" si="4"/>
        <v>3.5330695308083659</v>
      </c>
    </row>
    <row r="183" spans="2:6" x14ac:dyDescent="0.25">
      <c r="B183" s="15" t="s">
        <v>259</v>
      </c>
      <c r="C183" s="1" t="s">
        <v>297</v>
      </c>
      <c r="D183" s="1">
        <v>2</v>
      </c>
      <c r="E183" s="1">
        <v>4</v>
      </c>
      <c r="F183" s="24">
        <f t="shared" si="4"/>
        <v>0.94215187488223107</v>
      </c>
    </row>
    <row r="184" spans="2:6" x14ac:dyDescent="0.25">
      <c r="B184" s="1"/>
      <c r="C184" s="1"/>
      <c r="D184" s="1"/>
      <c r="E184" s="1"/>
      <c r="F184" s="24">
        <f t="shared" si="4"/>
        <v>0</v>
      </c>
    </row>
    <row r="185" spans="2:6" x14ac:dyDescent="0.25">
      <c r="B185" s="1"/>
      <c r="C185" s="1"/>
      <c r="D185" s="1"/>
      <c r="E185" s="1"/>
      <c r="F185" s="24">
        <f t="shared" si="4"/>
        <v>0</v>
      </c>
    </row>
    <row r="186" spans="2:6" x14ac:dyDescent="0.25">
      <c r="B186" s="1"/>
      <c r="C186" s="1"/>
      <c r="D186" s="1"/>
      <c r="E186" s="1"/>
      <c r="F186" s="24">
        <f t="shared" si="4"/>
        <v>0</v>
      </c>
    </row>
    <row r="187" spans="2:6" x14ac:dyDescent="0.25">
      <c r="B187" s="1"/>
      <c r="C187" s="1"/>
      <c r="D187" s="1"/>
      <c r="E187" s="1"/>
      <c r="F187" s="24">
        <f t="shared" si="4"/>
        <v>0</v>
      </c>
    </row>
    <row r="188" spans="2:6" x14ac:dyDescent="0.25">
      <c r="B188" s="1"/>
      <c r="C188" s="1"/>
      <c r="D188" s="1"/>
      <c r="E188" s="1"/>
      <c r="F188" s="24">
        <f t="shared" si="4"/>
        <v>0</v>
      </c>
    </row>
    <row r="189" spans="2:6" x14ac:dyDescent="0.25">
      <c r="B189" s="10" t="s">
        <v>20</v>
      </c>
      <c r="C189" s="1"/>
      <c r="D189" s="1"/>
      <c r="E189" s="4">
        <f>SUM(E177:E188)</f>
        <v>404</v>
      </c>
      <c r="F189" s="22">
        <f>SUM(F177:F188)</f>
        <v>95.157339363105322</v>
      </c>
    </row>
    <row r="190" spans="2:6" x14ac:dyDescent="0.25">
      <c r="B190" s="4" t="s">
        <v>22</v>
      </c>
      <c r="C190" s="6"/>
      <c r="D190" s="6"/>
      <c r="E190" s="6"/>
      <c r="F190" s="23">
        <f>F175+F189</f>
        <v>109.39733936310532</v>
      </c>
    </row>
    <row r="191" spans="2:6" x14ac:dyDescent="0.25">
      <c r="B191" s="7"/>
      <c r="C191" s="7"/>
      <c r="D191" s="7"/>
      <c r="E191" s="7"/>
      <c r="F191" s="7"/>
    </row>
    <row r="192" spans="2:6" x14ac:dyDescent="0.25">
      <c r="B192" s="18"/>
      <c r="C192" s="18"/>
      <c r="D192" s="18"/>
      <c r="E192" s="18"/>
      <c r="F192" s="18"/>
    </row>
    <row r="193" spans="2:6" x14ac:dyDescent="0.25">
      <c r="B193" s="18"/>
      <c r="C193" s="18"/>
      <c r="D193" s="18"/>
      <c r="E193" s="18"/>
      <c r="F193" s="18"/>
    </row>
    <row r="194" spans="2:6" x14ac:dyDescent="0.25">
      <c r="B194" s="39" t="s">
        <v>23</v>
      </c>
      <c r="C194" s="38"/>
      <c r="D194" s="38"/>
      <c r="E194" s="39" t="s">
        <v>24</v>
      </c>
      <c r="F194" s="38"/>
    </row>
    <row r="196" spans="2:6" ht="27.6" customHeight="1" x14ac:dyDescent="0.25">
      <c r="B196" s="37" t="s">
        <v>212</v>
      </c>
      <c r="C196" s="37"/>
      <c r="D196" s="37"/>
      <c r="E196" s="37"/>
      <c r="F196" s="37"/>
    </row>
    <row r="197" spans="2:6" ht="27.6" customHeight="1" x14ac:dyDescent="0.25">
      <c r="B197" s="37" t="s">
        <v>1</v>
      </c>
      <c r="C197" s="37"/>
      <c r="D197" s="37"/>
      <c r="E197" s="37"/>
      <c r="F197" s="37"/>
    </row>
    <row r="198" spans="2:6" x14ac:dyDescent="0.25">
      <c r="B198" s="16" t="s">
        <v>0</v>
      </c>
      <c r="C198" s="16"/>
      <c r="D198" s="16"/>
      <c r="E198" s="16"/>
      <c r="F198" s="16"/>
    </row>
    <row r="199" spans="2:6" x14ac:dyDescent="0.25">
      <c r="B199" s="17"/>
      <c r="C199" s="38" t="s">
        <v>25</v>
      </c>
      <c r="D199" s="38"/>
      <c r="E199" s="17">
        <v>843.9</v>
      </c>
      <c r="F199" s="17" t="s">
        <v>26</v>
      </c>
    </row>
    <row r="201" spans="2:6" ht="60" x14ac:dyDescent="0.25">
      <c r="B201" s="1" t="s">
        <v>2</v>
      </c>
      <c r="C201" s="1" t="s">
        <v>4</v>
      </c>
      <c r="D201" s="1" t="s">
        <v>3</v>
      </c>
      <c r="E201" s="1" t="s">
        <v>447</v>
      </c>
      <c r="F201" s="1" t="s">
        <v>5</v>
      </c>
    </row>
    <row r="202" spans="2:6" x14ac:dyDescent="0.25">
      <c r="B202" s="1"/>
      <c r="C202" s="1"/>
      <c r="D202" s="1"/>
      <c r="E202" s="1"/>
      <c r="F202" s="1"/>
    </row>
    <row r="203" spans="2:6" x14ac:dyDescent="0.25">
      <c r="B203" s="3" t="s">
        <v>6</v>
      </c>
      <c r="C203" s="1"/>
      <c r="D203" s="1"/>
      <c r="E203" s="1"/>
      <c r="F203" s="1"/>
    </row>
    <row r="204" spans="2:6" x14ac:dyDescent="0.25">
      <c r="B204" s="5" t="s">
        <v>7</v>
      </c>
      <c r="C204" s="1"/>
      <c r="D204" s="1"/>
      <c r="E204" s="1"/>
      <c r="F204" s="5">
        <v>2.0099999999999998</v>
      </c>
    </row>
    <row r="205" spans="2:6" x14ac:dyDescent="0.25">
      <c r="B205" s="5" t="s">
        <v>8</v>
      </c>
      <c r="C205" s="1"/>
      <c r="D205" s="1"/>
      <c r="E205" s="1"/>
      <c r="F205" s="5">
        <v>5.34</v>
      </c>
    </row>
    <row r="206" spans="2:6" x14ac:dyDescent="0.25">
      <c r="B206" s="5" t="s">
        <v>11</v>
      </c>
      <c r="C206" s="1"/>
      <c r="D206" s="1"/>
      <c r="E206" s="1"/>
      <c r="F206" s="5">
        <v>0.55000000000000004</v>
      </c>
    </row>
    <row r="207" spans="2:6" x14ac:dyDescent="0.25">
      <c r="B207" s="5" t="s">
        <v>12</v>
      </c>
      <c r="C207" s="1"/>
      <c r="D207" s="1"/>
      <c r="E207" s="1"/>
      <c r="F207" s="5">
        <v>0.53</v>
      </c>
    </row>
    <row r="208" spans="2:6" x14ac:dyDescent="0.25">
      <c r="B208" s="5" t="s">
        <v>13</v>
      </c>
      <c r="C208" s="1"/>
      <c r="D208" s="1"/>
      <c r="E208" s="1"/>
      <c r="F208" s="5">
        <v>0.19</v>
      </c>
    </row>
    <row r="209" spans="2:6" x14ac:dyDescent="0.25">
      <c r="B209" s="5" t="s">
        <v>9</v>
      </c>
      <c r="C209" s="1"/>
      <c r="D209" s="1"/>
      <c r="E209" s="1"/>
      <c r="F209" s="5">
        <v>0.26</v>
      </c>
    </row>
    <row r="210" spans="2:6" x14ac:dyDescent="0.25">
      <c r="B210" s="5" t="s">
        <v>15</v>
      </c>
      <c r="C210" s="1"/>
      <c r="D210" s="1"/>
      <c r="E210" s="1"/>
      <c r="F210" s="5">
        <v>0.01</v>
      </c>
    </row>
    <row r="211" spans="2:6" ht="24.75" x14ac:dyDescent="0.25">
      <c r="B211" s="5" t="s">
        <v>16</v>
      </c>
      <c r="C211" s="1"/>
      <c r="D211" s="1"/>
      <c r="E211" s="1"/>
      <c r="F211" s="5">
        <v>0.28999999999999998</v>
      </c>
    </row>
    <row r="212" spans="2:6" x14ac:dyDescent="0.25">
      <c r="B212" s="5" t="s">
        <v>17</v>
      </c>
      <c r="C212" s="1"/>
      <c r="D212" s="1"/>
      <c r="E212" s="1"/>
      <c r="F212" s="5">
        <v>0.32</v>
      </c>
    </row>
    <row r="213" spans="2:6" x14ac:dyDescent="0.25">
      <c r="B213" s="5" t="s">
        <v>18</v>
      </c>
      <c r="C213" s="1"/>
      <c r="D213" s="1"/>
      <c r="E213" s="1"/>
      <c r="F213" s="5">
        <v>1.97</v>
      </c>
    </row>
    <row r="214" spans="2:6" x14ac:dyDescent="0.25">
      <c r="B214" s="5" t="s">
        <v>19</v>
      </c>
      <c r="C214" s="1"/>
      <c r="D214" s="1"/>
      <c r="E214" s="1"/>
      <c r="F214" s="5">
        <v>3.51</v>
      </c>
    </row>
    <row r="215" spans="2:6" x14ac:dyDescent="0.25">
      <c r="B215" s="10" t="s">
        <v>20</v>
      </c>
      <c r="C215" s="1"/>
      <c r="D215" s="1"/>
      <c r="E215" s="1"/>
      <c r="F215" s="4">
        <f>SUM(F204:F214)</f>
        <v>14.979999999999999</v>
      </c>
    </row>
    <row r="216" spans="2:6" x14ac:dyDescent="0.25">
      <c r="B216" s="3" t="s">
        <v>21</v>
      </c>
      <c r="C216" s="1"/>
      <c r="D216" s="1"/>
      <c r="E216" s="1"/>
      <c r="F216" s="1"/>
    </row>
    <row r="217" spans="2:6" x14ac:dyDescent="0.25">
      <c r="B217" s="15" t="s">
        <v>252</v>
      </c>
      <c r="C217" s="1" t="s">
        <v>295</v>
      </c>
      <c r="D217" s="1">
        <v>2</v>
      </c>
      <c r="E217" s="1">
        <v>80</v>
      </c>
      <c r="F217" s="24">
        <f>E217/843.9*1000/12</f>
        <v>7.8998301536516964</v>
      </c>
    </row>
    <row r="218" spans="2:6" x14ac:dyDescent="0.25">
      <c r="B218" s="15" t="s">
        <v>253</v>
      </c>
      <c r="C218" s="1" t="s">
        <v>26</v>
      </c>
      <c r="D218" s="1">
        <v>120</v>
      </c>
      <c r="E218" s="1">
        <v>85</v>
      </c>
      <c r="F218" s="24">
        <f t="shared" ref="F218:F228" si="5">E218/843.9*1000/12</f>
        <v>8.393569538254928</v>
      </c>
    </row>
    <row r="219" spans="2:6" x14ac:dyDescent="0.25">
      <c r="B219" s="15" t="s">
        <v>255</v>
      </c>
      <c r="C219" s="1" t="s">
        <v>26</v>
      </c>
      <c r="D219" s="1">
        <v>8</v>
      </c>
      <c r="E219" s="1">
        <v>20</v>
      </c>
      <c r="F219" s="24">
        <f t="shared" si="5"/>
        <v>1.9749575384129241</v>
      </c>
    </row>
    <row r="220" spans="2:6" x14ac:dyDescent="0.25">
      <c r="B220" s="1"/>
      <c r="C220" s="1"/>
      <c r="D220" s="1"/>
      <c r="E220" s="1"/>
      <c r="F220" s="24">
        <f t="shared" si="5"/>
        <v>0</v>
      </c>
    </row>
    <row r="221" spans="2:6" x14ac:dyDescent="0.25">
      <c r="B221" s="1"/>
      <c r="C221" s="1"/>
      <c r="D221" s="1"/>
      <c r="E221" s="1"/>
      <c r="F221" s="24">
        <f t="shared" si="5"/>
        <v>0</v>
      </c>
    </row>
    <row r="222" spans="2:6" x14ac:dyDescent="0.25">
      <c r="B222" s="1"/>
      <c r="C222" s="1"/>
      <c r="D222" s="1"/>
      <c r="E222" s="1"/>
      <c r="F222" s="24">
        <f t="shared" si="5"/>
        <v>0</v>
      </c>
    </row>
    <row r="223" spans="2:6" x14ac:dyDescent="0.25">
      <c r="B223" s="1"/>
      <c r="C223" s="1"/>
      <c r="D223" s="1"/>
      <c r="E223" s="1"/>
      <c r="F223" s="24">
        <f t="shared" si="5"/>
        <v>0</v>
      </c>
    </row>
    <row r="224" spans="2:6" x14ac:dyDescent="0.25">
      <c r="B224" s="1"/>
      <c r="C224" s="1"/>
      <c r="D224" s="1"/>
      <c r="E224" s="1"/>
      <c r="F224" s="24">
        <f t="shared" si="5"/>
        <v>0</v>
      </c>
    </row>
    <row r="225" spans="2:6" x14ac:dyDescent="0.25">
      <c r="B225" s="1"/>
      <c r="C225" s="1"/>
      <c r="D225" s="1"/>
      <c r="E225" s="1"/>
      <c r="F225" s="24">
        <f t="shared" si="5"/>
        <v>0</v>
      </c>
    </row>
    <row r="226" spans="2:6" x14ac:dyDescent="0.25">
      <c r="B226" s="1"/>
      <c r="C226" s="1"/>
      <c r="D226" s="1"/>
      <c r="E226" s="1"/>
      <c r="F226" s="24">
        <f t="shared" si="5"/>
        <v>0</v>
      </c>
    </row>
    <row r="227" spans="2:6" x14ac:dyDescent="0.25">
      <c r="B227" s="1"/>
      <c r="C227" s="1"/>
      <c r="D227" s="1"/>
      <c r="E227" s="1"/>
      <c r="F227" s="24">
        <f t="shared" si="5"/>
        <v>0</v>
      </c>
    </row>
    <row r="228" spans="2:6" x14ac:dyDescent="0.25">
      <c r="B228" s="1"/>
      <c r="C228" s="1"/>
      <c r="D228" s="1"/>
      <c r="E228" s="1"/>
      <c r="F228" s="24">
        <f t="shared" si="5"/>
        <v>0</v>
      </c>
    </row>
    <row r="229" spans="2:6" x14ac:dyDescent="0.25">
      <c r="B229" s="10" t="s">
        <v>20</v>
      </c>
      <c r="C229" s="1"/>
      <c r="D229" s="1"/>
      <c r="E229" s="4">
        <f>SUM(E217:E228)</f>
        <v>185</v>
      </c>
      <c r="F229" s="22">
        <f>SUM(F217:F228)</f>
        <v>18.268357230319548</v>
      </c>
    </row>
    <row r="230" spans="2:6" x14ac:dyDescent="0.25">
      <c r="B230" s="4" t="s">
        <v>22</v>
      </c>
      <c r="C230" s="6"/>
      <c r="D230" s="6"/>
      <c r="E230" s="6"/>
      <c r="F230" s="23">
        <f>F215+F229</f>
        <v>33.248357230319549</v>
      </c>
    </row>
    <row r="231" spans="2:6" x14ac:dyDescent="0.25">
      <c r="B231" s="7"/>
      <c r="C231" s="7"/>
      <c r="D231" s="7"/>
      <c r="E231" s="7"/>
      <c r="F231" s="7"/>
    </row>
    <row r="232" spans="2:6" x14ac:dyDescent="0.25">
      <c r="B232" s="18"/>
      <c r="C232" s="18"/>
      <c r="D232" s="18"/>
      <c r="E232" s="18"/>
      <c r="F232" s="18"/>
    </row>
    <row r="233" spans="2:6" x14ac:dyDescent="0.25">
      <c r="B233" s="18"/>
      <c r="C233" s="18"/>
      <c r="D233" s="18"/>
      <c r="E233" s="18"/>
      <c r="F233" s="18"/>
    </row>
    <row r="234" spans="2:6" x14ac:dyDescent="0.25">
      <c r="B234" s="39" t="s">
        <v>23</v>
      </c>
      <c r="C234" s="38"/>
      <c r="D234" s="38"/>
      <c r="E234" s="39" t="s">
        <v>24</v>
      </c>
      <c r="F234" s="38"/>
    </row>
    <row r="236" spans="2:6" ht="25.9" customHeight="1" x14ac:dyDescent="0.25">
      <c r="B236" s="37" t="s">
        <v>213</v>
      </c>
      <c r="C236" s="37"/>
      <c r="D236" s="37"/>
      <c r="E236" s="37"/>
      <c r="F236" s="37"/>
    </row>
    <row r="237" spans="2:6" ht="25.15" customHeight="1" x14ac:dyDescent="0.25">
      <c r="B237" s="37" t="s">
        <v>1</v>
      </c>
      <c r="C237" s="37"/>
      <c r="D237" s="37"/>
      <c r="E237" s="37"/>
      <c r="F237" s="37"/>
    </row>
    <row r="238" spans="2:6" x14ac:dyDescent="0.25">
      <c r="B238" s="16" t="s">
        <v>0</v>
      </c>
      <c r="C238" s="16"/>
      <c r="D238" s="16"/>
      <c r="E238" s="16"/>
      <c r="F238" s="16"/>
    </row>
    <row r="239" spans="2:6" x14ac:dyDescent="0.25">
      <c r="B239" s="17"/>
      <c r="C239" s="38" t="s">
        <v>25</v>
      </c>
      <c r="D239" s="38"/>
      <c r="E239" s="17">
        <v>626.9</v>
      </c>
      <c r="F239" s="17" t="s">
        <v>26</v>
      </c>
    </row>
    <row r="241" spans="2:6" ht="60" x14ac:dyDescent="0.25">
      <c r="B241" s="1" t="s">
        <v>2</v>
      </c>
      <c r="C241" s="1" t="s">
        <v>4</v>
      </c>
      <c r="D241" s="1" t="s">
        <v>3</v>
      </c>
      <c r="E241" s="1" t="s">
        <v>447</v>
      </c>
      <c r="F241" s="1" t="s">
        <v>5</v>
      </c>
    </row>
    <row r="242" spans="2:6" x14ac:dyDescent="0.25">
      <c r="B242" s="1"/>
      <c r="C242" s="1"/>
      <c r="D242" s="1"/>
      <c r="E242" s="1"/>
      <c r="F242" s="1"/>
    </row>
    <row r="243" spans="2:6" x14ac:dyDescent="0.25">
      <c r="B243" s="3" t="s">
        <v>6</v>
      </c>
      <c r="C243" s="1"/>
      <c r="D243" s="1"/>
      <c r="E243" s="1"/>
      <c r="F243" s="1"/>
    </row>
    <row r="244" spans="2:6" x14ac:dyDescent="0.25">
      <c r="B244" s="5" t="s">
        <v>7</v>
      </c>
      <c r="C244" s="1"/>
      <c r="D244" s="1"/>
      <c r="E244" s="1"/>
      <c r="F244" s="5">
        <v>2.0099999999999998</v>
      </c>
    </row>
    <row r="245" spans="2:6" x14ac:dyDescent="0.25">
      <c r="B245" s="5" t="s">
        <v>8</v>
      </c>
      <c r="C245" s="1"/>
      <c r="D245" s="1"/>
      <c r="E245" s="1"/>
      <c r="F245" s="5">
        <v>5.34</v>
      </c>
    </row>
    <row r="246" spans="2:6" x14ac:dyDescent="0.25">
      <c r="B246" s="5" t="s">
        <v>12</v>
      </c>
      <c r="C246" s="1"/>
      <c r="D246" s="1"/>
      <c r="E246" s="1"/>
      <c r="F246" s="5">
        <v>0.53</v>
      </c>
    </row>
    <row r="247" spans="2:6" x14ac:dyDescent="0.25">
      <c r="B247" s="5" t="s">
        <v>13</v>
      </c>
      <c r="C247" s="1"/>
      <c r="D247" s="1"/>
      <c r="E247" s="1"/>
      <c r="F247" s="5">
        <v>0.19</v>
      </c>
    </row>
    <row r="248" spans="2:6" x14ac:dyDescent="0.25">
      <c r="B248" s="5" t="s">
        <v>9</v>
      </c>
      <c r="C248" s="1"/>
      <c r="D248" s="1"/>
      <c r="E248" s="1"/>
      <c r="F248" s="5">
        <v>0.26</v>
      </c>
    </row>
    <row r="249" spans="2:6" x14ac:dyDescent="0.25">
      <c r="B249" s="5" t="s">
        <v>15</v>
      </c>
      <c r="C249" s="1"/>
      <c r="D249" s="1"/>
      <c r="E249" s="1"/>
      <c r="F249" s="5">
        <v>0.01</v>
      </c>
    </row>
    <row r="250" spans="2:6" ht="24.75" x14ac:dyDescent="0.25">
      <c r="B250" s="5" t="s">
        <v>16</v>
      </c>
      <c r="C250" s="1"/>
      <c r="D250" s="1"/>
      <c r="E250" s="1"/>
      <c r="F250" s="5">
        <v>0.28999999999999998</v>
      </c>
    </row>
    <row r="251" spans="2:6" x14ac:dyDescent="0.25">
      <c r="B251" s="5" t="s">
        <v>17</v>
      </c>
      <c r="C251" s="1"/>
      <c r="D251" s="1"/>
      <c r="E251" s="1"/>
      <c r="F251" s="5">
        <v>0.32</v>
      </c>
    </row>
    <row r="252" spans="2:6" x14ac:dyDescent="0.25">
      <c r="B252" s="5" t="s">
        <v>18</v>
      </c>
      <c r="C252" s="1"/>
      <c r="D252" s="1"/>
      <c r="E252" s="1"/>
      <c r="F252" s="5">
        <v>1.97</v>
      </c>
    </row>
    <row r="253" spans="2:6" x14ac:dyDescent="0.25">
      <c r="B253" s="5" t="s">
        <v>19</v>
      </c>
      <c r="C253" s="1"/>
      <c r="D253" s="1"/>
      <c r="E253" s="1"/>
      <c r="F253" s="5">
        <v>3.51</v>
      </c>
    </row>
    <row r="254" spans="2:6" x14ac:dyDescent="0.25">
      <c r="B254" s="10" t="s">
        <v>20</v>
      </c>
      <c r="C254" s="1"/>
      <c r="D254" s="1"/>
      <c r="E254" s="1"/>
      <c r="F254" s="4">
        <f>SUM(F244:F253)</f>
        <v>14.43</v>
      </c>
    </row>
    <row r="255" spans="2:6" x14ac:dyDescent="0.25">
      <c r="B255" s="3" t="s">
        <v>21</v>
      </c>
      <c r="C255" s="1"/>
      <c r="D255" s="1"/>
      <c r="E255" s="1"/>
      <c r="F255" s="1"/>
    </row>
    <row r="256" spans="2:6" x14ac:dyDescent="0.25">
      <c r="B256" s="15" t="s">
        <v>252</v>
      </c>
      <c r="C256" s="1" t="s">
        <v>256</v>
      </c>
      <c r="D256" s="1">
        <v>2</v>
      </c>
      <c r="E256" s="1">
        <v>80</v>
      </c>
      <c r="F256" s="24">
        <f>E256/626.9*1000/12</f>
        <v>10.634338278300634</v>
      </c>
    </row>
    <row r="257" spans="2:6" x14ac:dyDescent="0.25">
      <c r="B257" s="15" t="s">
        <v>264</v>
      </c>
      <c r="C257" s="1" t="s">
        <v>265</v>
      </c>
      <c r="D257" s="1">
        <v>2</v>
      </c>
      <c r="E257" s="1">
        <v>30</v>
      </c>
      <c r="F257" s="24">
        <f t="shared" ref="F257:F267" si="6">E257/626.9*1000/12</f>
        <v>3.9878768543627374</v>
      </c>
    </row>
    <row r="258" spans="2:6" x14ac:dyDescent="0.25">
      <c r="B258" s="15" t="s">
        <v>278</v>
      </c>
      <c r="C258" s="1" t="s">
        <v>26</v>
      </c>
      <c r="D258" s="1">
        <v>12</v>
      </c>
      <c r="E258" s="1">
        <v>6</v>
      </c>
      <c r="F258" s="24">
        <f t="shared" si="6"/>
        <v>0.79757537087254748</v>
      </c>
    </row>
    <row r="259" spans="2:6" x14ac:dyDescent="0.25">
      <c r="B259" s="15" t="s">
        <v>253</v>
      </c>
      <c r="C259" s="1" t="s">
        <v>26</v>
      </c>
      <c r="D259" s="1">
        <v>112</v>
      </c>
      <c r="E259" s="1">
        <v>80</v>
      </c>
      <c r="F259" s="24">
        <f t="shared" si="6"/>
        <v>10.634338278300634</v>
      </c>
    </row>
    <row r="260" spans="2:6" x14ac:dyDescent="0.25">
      <c r="B260" s="15" t="s">
        <v>255</v>
      </c>
      <c r="C260" s="1" t="s">
        <v>26</v>
      </c>
      <c r="D260" s="1">
        <v>6</v>
      </c>
      <c r="E260" s="1">
        <v>15</v>
      </c>
      <c r="F260" s="24">
        <f t="shared" si="6"/>
        <v>1.9939384271813687</v>
      </c>
    </row>
    <row r="261" spans="2:6" x14ac:dyDescent="0.25">
      <c r="B261" s="15" t="s">
        <v>259</v>
      </c>
      <c r="C261" s="1" t="s">
        <v>26</v>
      </c>
      <c r="D261" s="1">
        <v>4</v>
      </c>
      <c r="E261" s="1">
        <v>8</v>
      </c>
      <c r="F261" s="24">
        <f t="shared" si="6"/>
        <v>1.0634338278300632</v>
      </c>
    </row>
    <row r="262" spans="2:6" x14ac:dyDescent="0.25">
      <c r="B262" s="15" t="s">
        <v>298</v>
      </c>
      <c r="C262" s="1" t="s">
        <v>265</v>
      </c>
      <c r="D262" s="1">
        <v>2</v>
      </c>
      <c r="E262" s="1">
        <v>60</v>
      </c>
      <c r="F262" s="24">
        <f t="shared" si="6"/>
        <v>7.9757537087254748</v>
      </c>
    </row>
    <row r="263" spans="2:6" x14ac:dyDescent="0.25">
      <c r="B263" s="1"/>
      <c r="C263" s="1"/>
      <c r="D263" s="1"/>
      <c r="E263" s="1"/>
      <c r="F263" s="24">
        <f t="shared" si="6"/>
        <v>0</v>
      </c>
    </row>
    <row r="264" spans="2:6" x14ac:dyDescent="0.25">
      <c r="B264" s="1"/>
      <c r="C264" s="1"/>
      <c r="D264" s="1"/>
      <c r="E264" s="1"/>
      <c r="F264" s="24">
        <f t="shared" si="6"/>
        <v>0</v>
      </c>
    </row>
    <row r="265" spans="2:6" x14ac:dyDescent="0.25">
      <c r="B265" s="1"/>
      <c r="C265" s="1"/>
      <c r="D265" s="1"/>
      <c r="E265" s="1"/>
      <c r="F265" s="24">
        <f t="shared" si="6"/>
        <v>0</v>
      </c>
    </row>
    <row r="266" spans="2:6" x14ac:dyDescent="0.25">
      <c r="B266" s="1"/>
      <c r="C266" s="1"/>
      <c r="D266" s="1"/>
      <c r="E266" s="1"/>
      <c r="F266" s="24">
        <f t="shared" si="6"/>
        <v>0</v>
      </c>
    </row>
    <row r="267" spans="2:6" x14ac:dyDescent="0.25">
      <c r="B267" s="1"/>
      <c r="C267" s="1"/>
      <c r="D267" s="1"/>
      <c r="E267" s="1"/>
      <c r="F267" s="24">
        <f t="shared" si="6"/>
        <v>0</v>
      </c>
    </row>
    <row r="268" spans="2:6" x14ac:dyDescent="0.25">
      <c r="B268" s="10" t="s">
        <v>20</v>
      </c>
      <c r="C268" s="1"/>
      <c r="D268" s="1"/>
      <c r="E268" s="4">
        <f>SUM(E256:E267)</f>
        <v>279</v>
      </c>
      <c r="F268" s="22">
        <f>SUM(F256:F267)</f>
        <v>37.08725474557346</v>
      </c>
    </row>
    <row r="269" spans="2:6" x14ac:dyDescent="0.25">
      <c r="B269" s="4" t="s">
        <v>22</v>
      </c>
      <c r="C269" s="6"/>
      <c r="D269" s="6"/>
      <c r="E269" s="6"/>
      <c r="F269" s="23">
        <f>F254+F268</f>
        <v>51.51725474557346</v>
      </c>
    </row>
    <row r="270" spans="2:6" x14ac:dyDescent="0.25">
      <c r="B270" s="7"/>
      <c r="C270" s="7"/>
      <c r="D270" s="7"/>
      <c r="E270" s="7"/>
      <c r="F270" s="7"/>
    </row>
    <row r="271" spans="2:6" x14ac:dyDescent="0.25">
      <c r="B271" s="18"/>
      <c r="C271" s="18"/>
      <c r="D271" s="18"/>
      <c r="E271" s="18"/>
      <c r="F271" s="18"/>
    </row>
    <row r="272" spans="2:6" x14ac:dyDescent="0.25">
      <c r="B272" s="18"/>
      <c r="C272" s="18"/>
      <c r="D272" s="18"/>
      <c r="E272" s="18"/>
      <c r="F272" s="18"/>
    </row>
    <row r="273" spans="2:6" x14ac:dyDescent="0.25">
      <c r="B273" s="39" t="s">
        <v>23</v>
      </c>
      <c r="C273" s="38"/>
      <c r="D273" s="38"/>
      <c r="E273" s="39" t="s">
        <v>24</v>
      </c>
      <c r="F273" s="38"/>
    </row>
    <row r="275" spans="2:6" ht="34.9" customHeight="1" x14ac:dyDescent="0.25">
      <c r="B275" s="37" t="s">
        <v>214</v>
      </c>
      <c r="C275" s="37"/>
      <c r="D275" s="37"/>
      <c r="E275" s="37"/>
      <c r="F275" s="37"/>
    </row>
    <row r="276" spans="2:6" ht="31.15" customHeight="1" x14ac:dyDescent="0.25">
      <c r="B276" s="37" t="s">
        <v>1</v>
      </c>
      <c r="C276" s="37"/>
      <c r="D276" s="37"/>
      <c r="E276" s="37"/>
      <c r="F276" s="37"/>
    </row>
    <row r="277" spans="2:6" x14ac:dyDescent="0.25">
      <c r="B277" s="16" t="s">
        <v>0</v>
      </c>
      <c r="C277" s="16"/>
      <c r="D277" s="16"/>
      <c r="E277" s="16"/>
      <c r="F277" s="16"/>
    </row>
    <row r="278" spans="2:6" x14ac:dyDescent="0.25">
      <c r="B278" s="17"/>
      <c r="C278" s="38" t="s">
        <v>25</v>
      </c>
      <c r="D278" s="38"/>
      <c r="E278" s="17">
        <v>488</v>
      </c>
      <c r="F278" s="17" t="s">
        <v>26</v>
      </c>
    </row>
    <row r="280" spans="2:6" ht="60" x14ac:dyDescent="0.25">
      <c r="B280" s="1" t="s">
        <v>2</v>
      </c>
      <c r="C280" s="1" t="s">
        <v>4</v>
      </c>
      <c r="D280" s="1" t="s">
        <v>3</v>
      </c>
      <c r="E280" s="1" t="s">
        <v>447</v>
      </c>
      <c r="F280" s="1" t="s">
        <v>5</v>
      </c>
    </row>
    <row r="281" spans="2:6" x14ac:dyDescent="0.25">
      <c r="B281" s="1"/>
      <c r="C281" s="1"/>
      <c r="D281" s="1"/>
      <c r="E281" s="1"/>
      <c r="F281" s="1"/>
    </row>
    <row r="282" spans="2:6" x14ac:dyDescent="0.25">
      <c r="B282" s="3" t="s">
        <v>6</v>
      </c>
      <c r="C282" s="1"/>
      <c r="D282" s="1"/>
      <c r="E282" s="1"/>
      <c r="F282" s="1"/>
    </row>
    <row r="283" spans="2:6" x14ac:dyDescent="0.25">
      <c r="B283" s="5" t="s">
        <v>7</v>
      </c>
      <c r="C283" s="1"/>
      <c r="D283" s="1"/>
      <c r="E283" s="1"/>
      <c r="F283" s="5">
        <v>2.0099999999999998</v>
      </c>
    </row>
    <row r="284" spans="2:6" x14ac:dyDescent="0.25">
      <c r="B284" s="5" t="s">
        <v>8</v>
      </c>
      <c r="C284" s="1"/>
      <c r="D284" s="1"/>
      <c r="E284" s="1"/>
      <c r="F284" s="5">
        <v>5.34</v>
      </c>
    </row>
    <row r="285" spans="2:6" x14ac:dyDescent="0.25">
      <c r="B285" s="5" t="s">
        <v>12</v>
      </c>
      <c r="C285" s="1"/>
      <c r="D285" s="1"/>
      <c r="E285" s="1"/>
      <c r="F285" s="5">
        <v>0.34</v>
      </c>
    </row>
    <row r="286" spans="2:6" x14ac:dyDescent="0.25">
      <c r="B286" s="5" t="s">
        <v>13</v>
      </c>
      <c r="C286" s="1"/>
      <c r="D286" s="1"/>
      <c r="E286" s="1"/>
      <c r="F286" s="5">
        <v>0.19</v>
      </c>
    </row>
    <row r="287" spans="2:6" x14ac:dyDescent="0.25">
      <c r="B287" s="5" t="s">
        <v>9</v>
      </c>
      <c r="C287" s="1"/>
      <c r="D287" s="1"/>
      <c r="E287" s="1"/>
      <c r="F287" s="5">
        <v>0.26</v>
      </c>
    </row>
    <row r="288" spans="2:6" x14ac:dyDescent="0.25">
      <c r="B288" s="5" t="s">
        <v>15</v>
      </c>
      <c r="C288" s="1"/>
      <c r="D288" s="1"/>
      <c r="E288" s="1"/>
      <c r="F288" s="5">
        <v>0.01</v>
      </c>
    </row>
    <row r="289" spans="2:6" ht="24.75" x14ac:dyDescent="0.25">
      <c r="B289" s="5" t="s">
        <v>16</v>
      </c>
      <c r="C289" s="1"/>
      <c r="D289" s="1"/>
      <c r="E289" s="1"/>
      <c r="F289" s="5">
        <v>0.28999999999999998</v>
      </c>
    </row>
    <row r="290" spans="2:6" x14ac:dyDescent="0.25">
      <c r="B290" s="5" t="s">
        <v>17</v>
      </c>
      <c r="C290" s="1"/>
      <c r="D290" s="1"/>
      <c r="E290" s="1"/>
      <c r="F290" s="5">
        <v>0.32</v>
      </c>
    </row>
    <row r="291" spans="2:6" x14ac:dyDescent="0.25">
      <c r="B291" s="5" t="s">
        <v>18</v>
      </c>
      <c r="C291" s="1"/>
      <c r="D291" s="1"/>
      <c r="E291" s="1"/>
      <c r="F291" s="5">
        <v>1.97</v>
      </c>
    </row>
    <row r="292" spans="2:6" x14ac:dyDescent="0.25">
      <c r="B292" s="5" t="s">
        <v>19</v>
      </c>
      <c r="C292" s="1"/>
      <c r="D292" s="1"/>
      <c r="E292" s="1"/>
      <c r="F292" s="5">
        <v>3.51</v>
      </c>
    </row>
    <row r="293" spans="2:6" x14ac:dyDescent="0.25">
      <c r="B293" s="10" t="s">
        <v>20</v>
      </c>
      <c r="C293" s="1"/>
      <c r="D293" s="1"/>
      <c r="E293" s="1"/>
      <c r="F293" s="4">
        <f>SUM(F283:F292)</f>
        <v>14.24</v>
      </c>
    </row>
    <row r="294" spans="2:6" x14ac:dyDescent="0.25">
      <c r="B294" s="3" t="s">
        <v>21</v>
      </c>
      <c r="C294" s="1"/>
      <c r="D294" s="1"/>
      <c r="E294" s="1"/>
      <c r="F294" s="1"/>
    </row>
    <row r="295" spans="2:6" x14ac:dyDescent="0.25">
      <c r="B295" s="15" t="s">
        <v>264</v>
      </c>
      <c r="C295" s="1" t="s">
        <v>265</v>
      </c>
      <c r="D295" s="1">
        <v>1</v>
      </c>
      <c r="E295" s="1">
        <v>15</v>
      </c>
      <c r="F295" s="24">
        <f>E295/488*1000/12</f>
        <v>2.5614754098360657</v>
      </c>
    </row>
    <row r="296" spans="2:6" x14ac:dyDescent="0.25">
      <c r="B296" s="15" t="s">
        <v>278</v>
      </c>
      <c r="C296" s="1" t="s">
        <v>26</v>
      </c>
      <c r="D296" s="1">
        <v>12</v>
      </c>
      <c r="E296" s="1">
        <v>6</v>
      </c>
      <c r="F296" s="24">
        <f t="shared" ref="F296:F306" si="7">E296/488*1000/12</f>
        <v>1.0245901639344261</v>
      </c>
    </row>
    <row r="297" spans="2:6" x14ac:dyDescent="0.25">
      <c r="B297" s="15" t="s">
        <v>254</v>
      </c>
      <c r="C297" s="1" t="s">
        <v>26</v>
      </c>
      <c r="D297" s="1">
        <v>80</v>
      </c>
      <c r="E297" s="1">
        <v>50</v>
      </c>
      <c r="F297" s="24">
        <f t="shared" si="7"/>
        <v>8.5382513661202193</v>
      </c>
    </row>
    <row r="298" spans="2:6" x14ac:dyDescent="0.25">
      <c r="B298" s="15" t="s">
        <v>255</v>
      </c>
      <c r="C298" s="1" t="s">
        <v>26</v>
      </c>
      <c r="D298" s="1">
        <v>8</v>
      </c>
      <c r="E298" s="1">
        <v>20</v>
      </c>
      <c r="F298" s="24">
        <f t="shared" si="7"/>
        <v>3.415300546448087</v>
      </c>
    </row>
    <row r="299" spans="2:6" x14ac:dyDescent="0.25">
      <c r="B299" s="15" t="s">
        <v>259</v>
      </c>
      <c r="C299" s="1" t="s">
        <v>26</v>
      </c>
      <c r="D299" s="1">
        <v>8</v>
      </c>
      <c r="E299" s="1">
        <v>16</v>
      </c>
      <c r="F299" s="24">
        <f t="shared" si="7"/>
        <v>2.7322404371584703</v>
      </c>
    </row>
    <row r="300" spans="2:6" x14ac:dyDescent="0.25">
      <c r="B300" s="1"/>
      <c r="C300" s="1"/>
      <c r="D300" s="1"/>
      <c r="E300" s="1"/>
      <c r="F300" s="24">
        <f t="shared" si="7"/>
        <v>0</v>
      </c>
    </row>
    <row r="301" spans="2:6" x14ac:dyDescent="0.25">
      <c r="B301" s="1"/>
      <c r="C301" s="1"/>
      <c r="D301" s="1"/>
      <c r="E301" s="1"/>
      <c r="F301" s="24">
        <f t="shared" si="7"/>
        <v>0</v>
      </c>
    </row>
    <row r="302" spans="2:6" x14ac:dyDescent="0.25">
      <c r="B302" s="1"/>
      <c r="C302" s="1"/>
      <c r="D302" s="1"/>
      <c r="E302" s="1"/>
      <c r="F302" s="24">
        <f t="shared" si="7"/>
        <v>0</v>
      </c>
    </row>
    <row r="303" spans="2:6" x14ac:dyDescent="0.25">
      <c r="B303" s="1"/>
      <c r="C303" s="1"/>
      <c r="D303" s="1"/>
      <c r="E303" s="1"/>
      <c r="F303" s="24">
        <f t="shared" si="7"/>
        <v>0</v>
      </c>
    </row>
    <row r="304" spans="2:6" x14ac:dyDescent="0.25">
      <c r="B304" s="1"/>
      <c r="C304" s="1"/>
      <c r="D304" s="1"/>
      <c r="E304" s="1"/>
      <c r="F304" s="24">
        <f t="shared" si="7"/>
        <v>0</v>
      </c>
    </row>
    <row r="305" spans="2:6" x14ac:dyDescent="0.25">
      <c r="B305" s="1"/>
      <c r="C305" s="1"/>
      <c r="D305" s="1"/>
      <c r="E305" s="1"/>
      <c r="F305" s="24">
        <f t="shared" si="7"/>
        <v>0</v>
      </c>
    </row>
    <row r="306" spans="2:6" x14ac:dyDescent="0.25">
      <c r="B306" s="1"/>
      <c r="C306" s="1"/>
      <c r="D306" s="1"/>
      <c r="E306" s="1"/>
      <c r="F306" s="24">
        <f t="shared" si="7"/>
        <v>0</v>
      </c>
    </row>
    <row r="307" spans="2:6" x14ac:dyDescent="0.25">
      <c r="B307" s="10" t="s">
        <v>20</v>
      </c>
      <c r="C307" s="1"/>
      <c r="D307" s="1"/>
      <c r="E307" s="4">
        <f>SUM(E295:E306)</f>
        <v>107</v>
      </c>
      <c r="F307" s="22">
        <f>SUM(F295:F306)</f>
        <v>18.271857923497269</v>
      </c>
    </row>
    <row r="308" spans="2:6" x14ac:dyDescent="0.25">
      <c r="B308" s="4" t="s">
        <v>22</v>
      </c>
      <c r="C308" s="6"/>
      <c r="D308" s="6"/>
      <c r="E308" s="6"/>
      <c r="F308" s="23">
        <f>F293+F307</f>
        <v>32.511857923497267</v>
      </c>
    </row>
    <row r="309" spans="2:6" x14ac:dyDescent="0.25">
      <c r="B309" s="7"/>
      <c r="C309" s="7"/>
      <c r="D309" s="7"/>
      <c r="E309" s="7"/>
      <c r="F309" s="7"/>
    </row>
    <row r="310" spans="2:6" x14ac:dyDescent="0.25">
      <c r="B310" s="18"/>
      <c r="C310" s="18"/>
      <c r="D310" s="18"/>
      <c r="E310" s="18"/>
      <c r="F310" s="18"/>
    </row>
    <row r="311" spans="2:6" x14ac:dyDescent="0.25">
      <c r="B311" s="18"/>
      <c r="C311" s="18"/>
      <c r="D311" s="18"/>
      <c r="E311" s="18"/>
      <c r="F311" s="18"/>
    </row>
    <row r="312" spans="2:6" x14ac:dyDescent="0.25">
      <c r="B312" s="39" t="s">
        <v>23</v>
      </c>
      <c r="C312" s="38"/>
      <c r="D312" s="38"/>
      <c r="E312" s="39" t="s">
        <v>24</v>
      </c>
      <c r="F312" s="38"/>
    </row>
  </sheetData>
  <mergeCells count="40">
    <mergeCell ref="B40:F40"/>
    <mergeCell ref="B1:F1"/>
    <mergeCell ref="B2:F2"/>
    <mergeCell ref="C4:D4"/>
    <mergeCell ref="B38:D38"/>
    <mergeCell ref="E38:F38"/>
    <mergeCell ref="C121:D121"/>
    <mergeCell ref="B41:F41"/>
    <mergeCell ref="C43:D43"/>
    <mergeCell ref="B77:D77"/>
    <mergeCell ref="E77:F77"/>
    <mergeCell ref="B79:F79"/>
    <mergeCell ref="B80:F80"/>
    <mergeCell ref="C82:D82"/>
    <mergeCell ref="B116:D116"/>
    <mergeCell ref="E116:F116"/>
    <mergeCell ref="B118:F118"/>
    <mergeCell ref="B119:F119"/>
    <mergeCell ref="B236:F236"/>
    <mergeCell ref="B155:D155"/>
    <mergeCell ref="E155:F155"/>
    <mergeCell ref="B157:F157"/>
    <mergeCell ref="B158:F158"/>
    <mergeCell ref="C160:D160"/>
    <mergeCell ref="B194:D194"/>
    <mergeCell ref="E194:F194"/>
    <mergeCell ref="B196:F196"/>
    <mergeCell ref="B197:F197"/>
    <mergeCell ref="C199:D199"/>
    <mergeCell ref="B234:D234"/>
    <mergeCell ref="E234:F234"/>
    <mergeCell ref="C278:D278"/>
    <mergeCell ref="B312:D312"/>
    <mergeCell ref="E312:F312"/>
    <mergeCell ref="B237:F237"/>
    <mergeCell ref="C239:D239"/>
    <mergeCell ref="B273:D273"/>
    <mergeCell ref="E273:F273"/>
    <mergeCell ref="B275:F275"/>
    <mergeCell ref="B276:F276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90"/>
  <sheetViews>
    <sheetView topLeftCell="A478" workbookViewId="0">
      <selection activeCell="E456" sqref="E456"/>
    </sheetView>
  </sheetViews>
  <sheetFormatPr defaultRowHeight="15" x14ac:dyDescent="0.25"/>
  <cols>
    <col min="2" max="2" width="44.28515625" customWidth="1"/>
    <col min="6" max="6" width="12" customWidth="1"/>
  </cols>
  <sheetData>
    <row r="1" spans="2:6" ht="31.9" customHeight="1" x14ac:dyDescent="0.25">
      <c r="B1" s="37" t="s">
        <v>215</v>
      </c>
      <c r="C1" s="37"/>
      <c r="D1" s="37"/>
      <c r="E1" s="37"/>
      <c r="F1" s="37"/>
    </row>
    <row r="2" spans="2:6" ht="32.450000000000003" customHeight="1" x14ac:dyDescent="0.25">
      <c r="B2" s="37" t="s">
        <v>1</v>
      </c>
      <c r="C2" s="37"/>
      <c r="D2" s="37"/>
      <c r="E2" s="37"/>
      <c r="F2" s="37"/>
    </row>
    <row r="3" spans="2:6" x14ac:dyDescent="0.25">
      <c r="B3" s="16" t="s">
        <v>0</v>
      </c>
      <c r="C3" s="16"/>
      <c r="D3" s="16"/>
      <c r="E3" s="16"/>
      <c r="F3" s="16"/>
    </row>
    <row r="4" spans="2:6" x14ac:dyDescent="0.25">
      <c r="B4" s="17"/>
      <c r="C4" s="38" t="s">
        <v>25</v>
      </c>
      <c r="D4" s="38"/>
      <c r="E4" s="17">
        <v>539.6</v>
      </c>
      <c r="F4" s="17" t="s">
        <v>26</v>
      </c>
    </row>
    <row r="6" spans="2:6" ht="45" x14ac:dyDescent="0.25">
      <c r="B6" s="1" t="s">
        <v>2</v>
      </c>
      <c r="C6" s="1" t="s">
        <v>4</v>
      </c>
      <c r="D6" s="1" t="s">
        <v>3</v>
      </c>
      <c r="E6" s="1" t="s">
        <v>447</v>
      </c>
      <c r="F6" s="1" t="s">
        <v>5</v>
      </c>
    </row>
    <row r="7" spans="2:6" x14ac:dyDescent="0.25">
      <c r="B7" s="1"/>
      <c r="C7" s="1"/>
      <c r="D7" s="1"/>
      <c r="E7" s="1"/>
      <c r="F7" s="1"/>
    </row>
    <row r="8" spans="2:6" x14ac:dyDescent="0.25">
      <c r="B8" s="3" t="s">
        <v>6</v>
      </c>
      <c r="C8" s="1"/>
      <c r="D8" s="1"/>
      <c r="E8" s="1"/>
      <c r="F8" s="1"/>
    </row>
    <row r="9" spans="2:6" x14ac:dyDescent="0.25">
      <c r="B9" s="5" t="s">
        <v>7</v>
      </c>
      <c r="C9" s="1"/>
      <c r="D9" s="1"/>
      <c r="E9" s="1"/>
      <c r="F9" s="5">
        <v>2.0099999999999998</v>
      </c>
    </row>
    <row r="10" spans="2:6" x14ac:dyDescent="0.25">
      <c r="B10" s="5" t="s">
        <v>8</v>
      </c>
      <c r="C10" s="1"/>
      <c r="D10" s="1"/>
      <c r="E10" s="1"/>
      <c r="F10" s="5">
        <v>5.34</v>
      </c>
    </row>
    <row r="11" spans="2:6" x14ac:dyDescent="0.25">
      <c r="B11" s="5" t="s">
        <v>11</v>
      </c>
      <c r="C11" s="1"/>
      <c r="D11" s="1"/>
      <c r="E11" s="1"/>
      <c r="F11" s="5">
        <v>0.55000000000000004</v>
      </c>
    </row>
    <row r="12" spans="2:6" x14ac:dyDescent="0.25">
      <c r="B12" s="5" t="s">
        <v>12</v>
      </c>
      <c r="C12" s="1"/>
      <c r="D12" s="1"/>
      <c r="E12" s="1"/>
      <c r="F12" s="5">
        <v>0.53</v>
      </c>
    </row>
    <row r="13" spans="2:6" x14ac:dyDescent="0.25">
      <c r="B13" s="5" t="s">
        <v>13</v>
      </c>
      <c r="C13" s="1"/>
      <c r="D13" s="1"/>
      <c r="E13" s="1"/>
      <c r="F13" s="5">
        <v>0.19</v>
      </c>
    </row>
    <row r="14" spans="2:6" x14ac:dyDescent="0.25">
      <c r="B14" s="5" t="s">
        <v>14</v>
      </c>
      <c r="C14" s="1"/>
      <c r="D14" s="1"/>
      <c r="E14" s="1"/>
      <c r="F14" s="5">
        <v>1.25</v>
      </c>
    </row>
    <row r="15" spans="2:6" ht="24.75" x14ac:dyDescent="0.25">
      <c r="B15" s="5" t="s">
        <v>9</v>
      </c>
      <c r="C15" s="1"/>
      <c r="D15" s="1"/>
      <c r="E15" s="1"/>
      <c r="F15" s="5">
        <v>0.26</v>
      </c>
    </row>
    <row r="16" spans="2:6" x14ac:dyDescent="0.25">
      <c r="B16" s="5" t="s">
        <v>15</v>
      </c>
      <c r="C16" s="1"/>
      <c r="D16" s="1"/>
      <c r="E16" s="1"/>
      <c r="F16" s="5">
        <v>0.27</v>
      </c>
    </row>
    <row r="17" spans="2:6" ht="24.75" x14ac:dyDescent="0.25">
      <c r="B17" s="5" t="s">
        <v>16</v>
      </c>
      <c r="C17" s="1"/>
      <c r="D17" s="1"/>
      <c r="E17" s="1"/>
      <c r="F17" s="5">
        <v>0.28999999999999998</v>
      </c>
    </row>
    <row r="18" spans="2:6" x14ac:dyDescent="0.25">
      <c r="B18" s="5" t="s">
        <v>17</v>
      </c>
      <c r="C18" s="1"/>
      <c r="D18" s="1"/>
      <c r="E18" s="1"/>
      <c r="F18" s="5">
        <v>0.32</v>
      </c>
    </row>
    <row r="19" spans="2:6" x14ac:dyDescent="0.25">
      <c r="B19" s="5" t="s">
        <v>18</v>
      </c>
      <c r="C19" s="1"/>
      <c r="D19" s="1"/>
      <c r="E19" s="1"/>
      <c r="F19" s="5">
        <v>1.97</v>
      </c>
    </row>
    <row r="20" spans="2:6" x14ac:dyDescent="0.25">
      <c r="B20" s="5" t="s">
        <v>19</v>
      </c>
      <c r="C20" s="1"/>
      <c r="D20" s="1"/>
      <c r="E20" s="1"/>
      <c r="F20" s="5">
        <v>3.51</v>
      </c>
    </row>
    <row r="21" spans="2:6" x14ac:dyDescent="0.25">
      <c r="B21" s="10" t="s">
        <v>20</v>
      </c>
      <c r="C21" s="1"/>
      <c r="D21" s="1"/>
      <c r="E21" s="1"/>
      <c r="F21" s="4">
        <f>SUM(F9:F20)</f>
        <v>16.489999999999998</v>
      </c>
    </row>
    <row r="22" spans="2:6" x14ac:dyDescent="0.25">
      <c r="B22" s="3" t="s">
        <v>21</v>
      </c>
      <c r="C22" s="1"/>
      <c r="D22" s="1"/>
      <c r="E22" s="1"/>
      <c r="F22" s="1"/>
    </row>
    <row r="23" spans="2:6" x14ac:dyDescent="0.25">
      <c r="B23" s="15" t="s">
        <v>313</v>
      </c>
      <c r="C23" s="1" t="s">
        <v>265</v>
      </c>
      <c r="D23" s="1">
        <v>2</v>
      </c>
      <c r="E23" s="1">
        <v>15</v>
      </c>
      <c r="F23" s="24">
        <f>E23/539.6*1000/12</f>
        <v>2.3165307635285397</v>
      </c>
    </row>
    <row r="24" spans="2:6" x14ac:dyDescent="0.25">
      <c r="B24" s="26" t="s">
        <v>314</v>
      </c>
      <c r="C24" s="1" t="s">
        <v>265</v>
      </c>
      <c r="D24" s="1">
        <v>1</v>
      </c>
      <c r="E24" s="1">
        <v>40</v>
      </c>
      <c r="F24" s="24">
        <f t="shared" ref="F24:F34" si="0">E24/539.6*1000/12</f>
        <v>6.1774153694094389</v>
      </c>
    </row>
    <row r="25" spans="2:6" x14ac:dyDescent="0.25">
      <c r="B25" s="26" t="s">
        <v>315</v>
      </c>
      <c r="C25" s="1" t="s">
        <v>26</v>
      </c>
      <c r="D25" s="1">
        <v>8</v>
      </c>
      <c r="E25" s="1">
        <v>4</v>
      </c>
      <c r="F25" s="24">
        <f t="shared" si="0"/>
        <v>0.61774153694094391</v>
      </c>
    </row>
    <row r="26" spans="2:6" x14ac:dyDescent="0.25">
      <c r="B26" s="26" t="s">
        <v>316</v>
      </c>
      <c r="C26" s="1" t="s">
        <v>261</v>
      </c>
      <c r="D26" s="1">
        <v>8</v>
      </c>
      <c r="E26" s="1">
        <v>9.6</v>
      </c>
      <c r="F26" s="24">
        <f t="shared" si="0"/>
        <v>1.4825796886582652</v>
      </c>
    </row>
    <row r="27" spans="2:6" x14ac:dyDescent="0.25">
      <c r="B27" s="26"/>
      <c r="C27" s="1"/>
      <c r="D27" s="1"/>
      <c r="E27" s="1"/>
      <c r="F27" s="24">
        <f t="shared" si="0"/>
        <v>0</v>
      </c>
    </row>
    <row r="28" spans="2:6" x14ac:dyDescent="0.25">
      <c r="B28" s="26"/>
      <c r="C28" s="1"/>
      <c r="D28" s="1"/>
      <c r="E28" s="1"/>
      <c r="F28" s="24">
        <f t="shared" si="0"/>
        <v>0</v>
      </c>
    </row>
    <row r="29" spans="2:6" x14ac:dyDescent="0.25">
      <c r="B29" s="26"/>
      <c r="C29" s="1"/>
      <c r="D29" s="1"/>
      <c r="E29" s="1"/>
      <c r="F29" s="24">
        <f t="shared" si="0"/>
        <v>0</v>
      </c>
    </row>
    <row r="30" spans="2:6" x14ac:dyDescent="0.25">
      <c r="B30" s="26"/>
      <c r="C30" s="1"/>
      <c r="D30" s="1"/>
      <c r="E30" s="1"/>
      <c r="F30" s="24">
        <f t="shared" si="0"/>
        <v>0</v>
      </c>
    </row>
    <row r="31" spans="2:6" x14ac:dyDescent="0.25">
      <c r="B31" s="26"/>
      <c r="C31" s="1"/>
      <c r="D31" s="1"/>
      <c r="E31" s="1"/>
      <c r="F31" s="24">
        <f t="shared" si="0"/>
        <v>0</v>
      </c>
    </row>
    <row r="32" spans="2:6" x14ac:dyDescent="0.25">
      <c r="B32" s="26"/>
      <c r="C32" s="1"/>
      <c r="D32" s="1"/>
      <c r="E32" s="1"/>
      <c r="F32" s="24">
        <f t="shared" si="0"/>
        <v>0</v>
      </c>
    </row>
    <row r="33" spans="2:6" x14ac:dyDescent="0.25">
      <c r="B33" s="26"/>
      <c r="C33" s="1"/>
      <c r="D33" s="1"/>
      <c r="E33" s="1"/>
      <c r="F33" s="24">
        <f t="shared" si="0"/>
        <v>0</v>
      </c>
    </row>
    <row r="34" spans="2:6" x14ac:dyDescent="0.25">
      <c r="B34" s="26"/>
      <c r="C34" s="1"/>
      <c r="D34" s="1"/>
      <c r="E34" s="1"/>
      <c r="F34" s="24">
        <f t="shared" si="0"/>
        <v>0</v>
      </c>
    </row>
    <row r="35" spans="2:6" x14ac:dyDescent="0.25">
      <c r="B35" s="10" t="s">
        <v>20</v>
      </c>
      <c r="C35" s="1"/>
      <c r="D35" s="1"/>
      <c r="E35" s="4">
        <f>SUM(E23:E34)</f>
        <v>68.599999999999994</v>
      </c>
      <c r="F35" s="22">
        <f>SUM(F23:F34)</f>
        <v>10.594267358537188</v>
      </c>
    </row>
    <row r="36" spans="2:6" x14ac:dyDescent="0.25">
      <c r="B36" s="4" t="s">
        <v>22</v>
      </c>
      <c r="C36" s="6"/>
      <c r="D36" s="6"/>
      <c r="E36" s="6"/>
      <c r="F36" s="23">
        <f>F21+F35</f>
        <v>27.084267358537186</v>
      </c>
    </row>
    <row r="37" spans="2:6" x14ac:dyDescent="0.25">
      <c r="B37" s="7"/>
      <c r="C37" s="7"/>
      <c r="D37" s="7"/>
      <c r="E37" s="7"/>
      <c r="F37" s="7"/>
    </row>
    <row r="38" spans="2:6" x14ac:dyDescent="0.25">
      <c r="B38" s="18"/>
      <c r="C38" s="18"/>
      <c r="D38" s="18"/>
      <c r="E38" s="18"/>
      <c r="F38" s="18"/>
    </row>
    <row r="39" spans="2:6" x14ac:dyDescent="0.25">
      <c r="B39" s="18"/>
      <c r="C39" s="18"/>
      <c r="D39" s="18"/>
      <c r="E39" s="18"/>
      <c r="F39" s="18"/>
    </row>
    <row r="40" spans="2:6" x14ac:dyDescent="0.25">
      <c r="B40" s="39" t="s">
        <v>23</v>
      </c>
      <c r="C40" s="38"/>
      <c r="D40" s="38"/>
      <c r="E40" s="39" t="s">
        <v>24</v>
      </c>
      <c r="F40" s="38"/>
    </row>
    <row r="41" spans="2:6" x14ac:dyDescent="0.25">
      <c r="B41" s="18"/>
      <c r="C41" s="17"/>
      <c r="D41" s="17"/>
      <c r="E41" s="18"/>
      <c r="F41" s="17"/>
    </row>
    <row r="42" spans="2:6" ht="30.6" customHeight="1" x14ac:dyDescent="0.25">
      <c r="B42" s="37" t="s">
        <v>216</v>
      </c>
      <c r="C42" s="37"/>
      <c r="D42" s="37"/>
      <c r="E42" s="37"/>
      <c r="F42" s="37"/>
    </row>
    <row r="43" spans="2:6" ht="28.9" customHeight="1" x14ac:dyDescent="0.25">
      <c r="B43" s="37" t="s">
        <v>1</v>
      </c>
      <c r="C43" s="37"/>
      <c r="D43" s="37"/>
      <c r="E43" s="37"/>
      <c r="F43" s="37"/>
    </row>
    <row r="44" spans="2:6" x14ac:dyDescent="0.25">
      <c r="B44" s="16" t="s">
        <v>0</v>
      </c>
      <c r="C44" s="16"/>
      <c r="D44" s="16"/>
      <c r="E44" s="16"/>
      <c r="F44" s="16"/>
    </row>
    <row r="45" spans="2:6" x14ac:dyDescent="0.25">
      <c r="B45" s="17"/>
      <c r="C45" s="38" t="s">
        <v>25</v>
      </c>
      <c r="D45" s="38"/>
      <c r="E45" s="17">
        <v>281.60000000000002</v>
      </c>
      <c r="F45" s="17" t="s">
        <v>26</v>
      </c>
    </row>
    <row r="47" spans="2:6" ht="45" x14ac:dyDescent="0.25">
      <c r="B47" s="1" t="s">
        <v>2</v>
      </c>
      <c r="C47" s="1" t="s">
        <v>4</v>
      </c>
      <c r="D47" s="1" t="s">
        <v>3</v>
      </c>
      <c r="E47" s="1" t="s">
        <v>447</v>
      </c>
      <c r="F47" s="1" t="s">
        <v>5</v>
      </c>
    </row>
    <row r="48" spans="2:6" x14ac:dyDescent="0.25">
      <c r="B48" s="1"/>
      <c r="C48" s="1"/>
      <c r="D48" s="1"/>
      <c r="E48" s="1"/>
      <c r="F48" s="1"/>
    </row>
    <row r="49" spans="2:6" x14ac:dyDescent="0.25">
      <c r="B49" s="3" t="s">
        <v>6</v>
      </c>
      <c r="C49" s="1"/>
      <c r="D49" s="1"/>
      <c r="E49" s="1"/>
      <c r="F49" s="1"/>
    </row>
    <row r="50" spans="2:6" x14ac:dyDescent="0.25">
      <c r="B50" s="5" t="s">
        <v>7</v>
      </c>
      <c r="C50" s="1"/>
      <c r="D50" s="1"/>
      <c r="E50" s="1"/>
      <c r="F50" s="5">
        <v>2.0099999999999998</v>
      </c>
    </row>
    <row r="51" spans="2:6" x14ac:dyDescent="0.25">
      <c r="B51" s="5" t="s">
        <v>8</v>
      </c>
      <c r="C51" s="1"/>
      <c r="D51" s="1"/>
      <c r="E51" s="1"/>
      <c r="F51" s="5">
        <v>5.34</v>
      </c>
    </row>
    <row r="52" spans="2:6" x14ac:dyDescent="0.25">
      <c r="B52" s="5" t="s">
        <v>11</v>
      </c>
      <c r="C52" s="1"/>
      <c r="D52" s="1"/>
      <c r="E52" s="1"/>
      <c r="F52" s="5">
        <v>0.55000000000000004</v>
      </c>
    </row>
    <row r="53" spans="2:6" x14ac:dyDescent="0.25">
      <c r="B53" s="5" t="s">
        <v>12</v>
      </c>
      <c r="C53" s="1"/>
      <c r="D53" s="1"/>
      <c r="E53" s="1"/>
      <c r="F53" s="5">
        <v>0.53</v>
      </c>
    </row>
    <row r="54" spans="2:6" x14ac:dyDescent="0.25">
      <c r="B54" s="5" t="s">
        <v>13</v>
      </c>
      <c r="C54" s="1"/>
      <c r="D54" s="1"/>
      <c r="E54" s="1"/>
      <c r="F54" s="5">
        <v>0.19</v>
      </c>
    </row>
    <row r="55" spans="2:6" x14ac:dyDescent="0.25">
      <c r="B55" s="5" t="s">
        <v>14</v>
      </c>
      <c r="C55" s="1"/>
      <c r="D55" s="1"/>
      <c r="E55" s="1"/>
      <c r="F55" s="5">
        <v>1.25</v>
      </c>
    </row>
    <row r="56" spans="2:6" ht="24.75" x14ac:dyDescent="0.25">
      <c r="B56" s="5" t="s">
        <v>9</v>
      </c>
      <c r="C56" s="1"/>
      <c r="D56" s="1"/>
      <c r="E56" s="1"/>
      <c r="F56" s="5">
        <v>0.26</v>
      </c>
    </row>
    <row r="57" spans="2:6" x14ac:dyDescent="0.25">
      <c r="B57" s="5" t="s">
        <v>15</v>
      </c>
      <c r="C57" s="1"/>
      <c r="D57" s="1"/>
      <c r="E57" s="1"/>
      <c r="F57" s="5">
        <v>0.27</v>
      </c>
    </row>
    <row r="58" spans="2:6" ht="24.75" x14ac:dyDescent="0.25">
      <c r="B58" s="5" t="s">
        <v>16</v>
      </c>
      <c r="C58" s="1"/>
      <c r="D58" s="1"/>
      <c r="E58" s="1"/>
      <c r="F58" s="5">
        <v>0.28999999999999998</v>
      </c>
    </row>
    <row r="59" spans="2:6" x14ac:dyDescent="0.25">
      <c r="B59" s="5" t="s">
        <v>17</v>
      </c>
      <c r="C59" s="1"/>
      <c r="D59" s="1"/>
      <c r="E59" s="1"/>
      <c r="F59" s="5">
        <v>0.32</v>
      </c>
    </row>
    <row r="60" spans="2:6" x14ac:dyDescent="0.25">
      <c r="B60" s="5" t="s">
        <v>18</v>
      </c>
      <c r="C60" s="1"/>
      <c r="D60" s="1"/>
      <c r="E60" s="1"/>
      <c r="F60" s="5">
        <v>1.97</v>
      </c>
    </row>
    <row r="61" spans="2:6" x14ac:dyDescent="0.25">
      <c r="B61" s="5" t="s">
        <v>19</v>
      </c>
      <c r="C61" s="1"/>
      <c r="D61" s="1"/>
      <c r="E61" s="1"/>
      <c r="F61" s="5">
        <v>3.51</v>
      </c>
    </row>
    <row r="62" spans="2:6" x14ac:dyDescent="0.25">
      <c r="B62" s="10" t="s">
        <v>20</v>
      </c>
      <c r="C62" s="1"/>
      <c r="D62" s="1"/>
      <c r="E62" s="1"/>
      <c r="F62" s="4">
        <f>SUM(F50:F61)</f>
        <v>16.489999999999998</v>
      </c>
    </row>
    <row r="63" spans="2:6" x14ac:dyDescent="0.25">
      <c r="B63" s="3" t="s">
        <v>21</v>
      </c>
      <c r="C63" s="1"/>
      <c r="D63" s="1"/>
      <c r="E63" s="1"/>
      <c r="F63" s="1"/>
    </row>
    <row r="64" spans="2:6" x14ac:dyDescent="0.25">
      <c r="B64" s="15" t="s">
        <v>252</v>
      </c>
      <c r="C64" s="1" t="s">
        <v>256</v>
      </c>
      <c r="D64" s="1">
        <v>1</v>
      </c>
      <c r="E64" s="1">
        <v>40</v>
      </c>
      <c r="F64" s="24">
        <f>E64/281.6*1000/12</f>
        <v>11.837121212121211</v>
      </c>
    </row>
    <row r="65" spans="2:6" x14ac:dyDescent="0.25">
      <c r="B65" s="15" t="s">
        <v>269</v>
      </c>
      <c r="C65" s="1" t="s">
        <v>261</v>
      </c>
      <c r="D65" s="1">
        <v>4</v>
      </c>
      <c r="E65" s="1">
        <v>20</v>
      </c>
      <c r="F65" s="24">
        <f t="shared" ref="F65:F75" si="1">E65/281.6*1000/12</f>
        <v>5.9185606060606055</v>
      </c>
    </row>
    <row r="66" spans="2:6" x14ac:dyDescent="0.25">
      <c r="B66" s="15" t="s">
        <v>253</v>
      </c>
      <c r="C66" s="1" t="s">
        <v>26</v>
      </c>
      <c r="D66" s="1">
        <v>80</v>
      </c>
      <c r="E66" s="1">
        <v>60</v>
      </c>
      <c r="F66" s="24">
        <f t="shared" si="1"/>
        <v>17.755681818181817</v>
      </c>
    </row>
    <row r="67" spans="2:6" x14ac:dyDescent="0.25">
      <c r="B67" s="15" t="s">
        <v>254</v>
      </c>
      <c r="C67" s="1" t="s">
        <v>26</v>
      </c>
      <c r="D67" s="1">
        <v>40</v>
      </c>
      <c r="E67" s="1">
        <v>25</v>
      </c>
      <c r="F67" s="24">
        <f t="shared" si="1"/>
        <v>7.3982007575757578</v>
      </c>
    </row>
    <row r="68" spans="2:6" x14ac:dyDescent="0.25">
      <c r="B68" s="15" t="s">
        <v>260</v>
      </c>
      <c r="C68" s="1" t="s">
        <v>256</v>
      </c>
      <c r="D68" s="1">
        <v>1</v>
      </c>
      <c r="E68" s="1">
        <v>55</v>
      </c>
      <c r="F68" s="24">
        <f t="shared" si="1"/>
        <v>16.276041666666664</v>
      </c>
    </row>
    <row r="69" spans="2:6" x14ac:dyDescent="0.25">
      <c r="B69" s="26" t="s">
        <v>316</v>
      </c>
      <c r="C69" s="1" t="s">
        <v>261</v>
      </c>
      <c r="D69" s="1">
        <v>12</v>
      </c>
      <c r="E69" s="1">
        <v>14.4</v>
      </c>
      <c r="F69" s="24">
        <f t="shared" si="1"/>
        <v>4.2613636363636358</v>
      </c>
    </row>
    <row r="70" spans="2:6" x14ac:dyDescent="0.25">
      <c r="B70" s="1"/>
      <c r="C70" s="1"/>
      <c r="D70" s="1"/>
      <c r="E70" s="1"/>
      <c r="F70" s="24">
        <f t="shared" si="1"/>
        <v>0</v>
      </c>
    </row>
    <row r="71" spans="2:6" x14ac:dyDescent="0.25">
      <c r="B71" s="1"/>
      <c r="C71" s="1"/>
      <c r="D71" s="1"/>
      <c r="E71" s="1"/>
      <c r="F71" s="24">
        <f t="shared" si="1"/>
        <v>0</v>
      </c>
    </row>
    <row r="72" spans="2:6" x14ac:dyDescent="0.25">
      <c r="B72" s="1"/>
      <c r="C72" s="1"/>
      <c r="D72" s="1"/>
      <c r="E72" s="1"/>
      <c r="F72" s="24">
        <f t="shared" si="1"/>
        <v>0</v>
      </c>
    </row>
    <row r="73" spans="2:6" x14ac:dyDescent="0.25">
      <c r="B73" s="1"/>
      <c r="C73" s="1"/>
      <c r="D73" s="1"/>
      <c r="E73" s="1"/>
      <c r="F73" s="24">
        <f t="shared" si="1"/>
        <v>0</v>
      </c>
    </row>
    <row r="74" spans="2:6" x14ac:dyDescent="0.25">
      <c r="B74" s="1"/>
      <c r="C74" s="1"/>
      <c r="D74" s="1"/>
      <c r="E74" s="1"/>
      <c r="F74" s="24">
        <f t="shared" si="1"/>
        <v>0</v>
      </c>
    </row>
    <row r="75" spans="2:6" x14ac:dyDescent="0.25">
      <c r="B75" s="1"/>
      <c r="C75" s="1"/>
      <c r="D75" s="1"/>
      <c r="E75" s="1"/>
      <c r="F75" s="24">
        <f t="shared" si="1"/>
        <v>0</v>
      </c>
    </row>
    <row r="76" spans="2:6" x14ac:dyDescent="0.25">
      <c r="B76" s="10" t="s">
        <v>20</v>
      </c>
      <c r="C76" s="1"/>
      <c r="D76" s="1"/>
      <c r="E76" s="4">
        <f>SUM(E64:E75)</f>
        <v>214.4</v>
      </c>
      <c r="F76" s="22">
        <f>SUM(F64:F75)</f>
        <v>63.446969696969688</v>
      </c>
    </row>
    <row r="77" spans="2:6" x14ac:dyDescent="0.25">
      <c r="B77" s="4" t="s">
        <v>22</v>
      </c>
      <c r="C77" s="6"/>
      <c r="D77" s="6"/>
      <c r="E77" s="6"/>
      <c r="F77" s="23">
        <f>F62+F76</f>
        <v>79.936969696969683</v>
      </c>
    </row>
    <row r="78" spans="2:6" x14ac:dyDescent="0.25">
      <c r="B78" s="7"/>
      <c r="C78" s="7"/>
      <c r="D78" s="7"/>
      <c r="E78" s="7"/>
      <c r="F78" s="7"/>
    </row>
    <row r="79" spans="2:6" x14ac:dyDescent="0.25">
      <c r="B79" s="18"/>
      <c r="C79" s="18"/>
      <c r="D79" s="18"/>
      <c r="E79" s="18"/>
      <c r="F79" s="18"/>
    </row>
    <row r="80" spans="2:6" x14ac:dyDescent="0.25">
      <c r="B80" s="18"/>
      <c r="C80" s="18"/>
      <c r="D80" s="18"/>
      <c r="E80" s="18"/>
      <c r="F80" s="18"/>
    </row>
    <row r="81" spans="2:6" x14ac:dyDescent="0.25">
      <c r="B81" s="39" t="s">
        <v>23</v>
      </c>
      <c r="C81" s="38"/>
      <c r="D81" s="38"/>
      <c r="E81" s="39" t="s">
        <v>24</v>
      </c>
      <c r="F81" s="38"/>
    </row>
    <row r="83" spans="2:6" ht="37.9" customHeight="1" x14ac:dyDescent="0.25">
      <c r="B83" s="37" t="s">
        <v>217</v>
      </c>
      <c r="C83" s="37"/>
      <c r="D83" s="37"/>
      <c r="E83" s="37"/>
      <c r="F83" s="37"/>
    </row>
    <row r="84" spans="2:6" ht="36.6" customHeight="1" x14ac:dyDescent="0.25">
      <c r="B84" s="37" t="s">
        <v>1</v>
      </c>
      <c r="C84" s="37"/>
      <c r="D84" s="37"/>
      <c r="E84" s="37"/>
      <c r="F84" s="37"/>
    </row>
    <row r="85" spans="2:6" x14ac:dyDescent="0.25">
      <c r="B85" s="16" t="s">
        <v>0</v>
      </c>
      <c r="C85" s="16"/>
      <c r="D85" s="16"/>
      <c r="E85" s="16"/>
      <c r="F85" s="16"/>
    </row>
    <row r="86" spans="2:6" x14ac:dyDescent="0.25">
      <c r="B86" s="17"/>
      <c r="C86" s="38" t="s">
        <v>25</v>
      </c>
      <c r="D86" s="38"/>
      <c r="E86" s="17">
        <v>397.2</v>
      </c>
      <c r="F86" s="17" t="s">
        <v>26</v>
      </c>
    </row>
    <row r="88" spans="2:6" ht="45" x14ac:dyDescent="0.25">
      <c r="B88" s="1" t="s">
        <v>2</v>
      </c>
      <c r="C88" s="1" t="s">
        <v>4</v>
      </c>
      <c r="D88" s="1" t="s">
        <v>3</v>
      </c>
      <c r="E88" s="1" t="s">
        <v>447</v>
      </c>
      <c r="F88" s="1" t="s">
        <v>5</v>
      </c>
    </row>
    <row r="89" spans="2:6" x14ac:dyDescent="0.25">
      <c r="B89" s="1"/>
      <c r="C89" s="1"/>
      <c r="D89" s="1"/>
      <c r="E89" s="1"/>
      <c r="F89" s="1"/>
    </row>
    <row r="90" spans="2:6" x14ac:dyDescent="0.25">
      <c r="B90" s="3" t="s">
        <v>6</v>
      </c>
      <c r="C90" s="1"/>
      <c r="D90" s="1"/>
      <c r="E90" s="1"/>
      <c r="F90" s="1"/>
    </row>
    <row r="91" spans="2:6" x14ac:dyDescent="0.25">
      <c r="B91" s="5" t="s">
        <v>7</v>
      </c>
      <c r="C91" s="1"/>
      <c r="D91" s="1"/>
      <c r="E91" s="1"/>
      <c r="F91" s="5">
        <v>2.0099999999999998</v>
      </c>
    </row>
    <row r="92" spans="2:6" x14ac:dyDescent="0.25">
      <c r="B92" s="5" t="s">
        <v>8</v>
      </c>
      <c r="C92" s="1"/>
      <c r="D92" s="1"/>
      <c r="E92" s="1"/>
      <c r="F92" s="5">
        <v>5.34</v>
      </c>
    </row>
    <row r="93" spans="2:6" x14ac:dyDescent="0.25">
      <c r="B93" s="5" t="s">
        <v>11</v>
      </c>
      <c r="C93" s="1"/>
      <c r="D93" s="1"/>
      <c r="E93" s="1"/>
      <c r="F93" s="5">
        <v>0.55000000000000004</v>
      </c>
    </row>
    <row r="94" spans="2:6" x14ac:dyDescent="0.25">
      <c r="B94" s="5" t="s">
        <v>12</v>
      </c>
      <c r="C94" s="1"/>
      <c r="D94" s="1"/>
      <c r="E94" s="1"/>
      <c r="F94" s="5">
        <v>0.53</v>
      </c>
    </row>
    <row r="95" spans="2:6" x14ac:dyDescent="0.25">
      <c r="B95" s="5" t="s">
        <v>13</v>
      </c>
      <c r="C95" s="1"/>
      <c r="D95" s="1"/>
      <c r="E95" s="1"/>
      <c r="F95" s="5">
        <v>0.19</v>
      </c>
    </row>
    <row r="96" spans="2:6" x14ac:dyDescent="0.25">
      <c r="B96" s="5" t="s">
        <v>14</v>
      </c>
      <c r="C96" s="1"/>
      <c r="D96" s="1"/>
      <c r="E96" s="1"/>
      <c r="F96" s="5">
        <v>1.25</v>
      </c>
    </row>
    <row r="97" spans="2:6" ht="24.75" x14ac:dyDescent="0.25">
      <c r="B97" s="5" t="s">
        <v>9</v>
      </c>
      <c r="C97" s="1"/>
      <c r="D97" s="1"/>
      <c r="E97" s="1"/>
      <c r="F97" s="5">
        <v>0.26</v>
      </c>
    </row>
    <row r="98" spans="2:6" x14ac:dyDescent="0.25">
      <c r="B98" s="5" t="s">
        <v>15</v>
      </c>
      <c r="C98" s="1"/>
      <c r="D98" s="1"/>
      <c r="E98" s="1"/>
      <c r="F98" s="5">
        <v>0.27</v>
      </c>
    </row>
    <row r="99" spans="2:6" ht="24.75" x14ac:dyDescent="0.25">
      <c r="B99" s="5" t="s">
        <v>16</v>
      </c>
      <c r="C99" s="1"/>
      <c r="D99" s="1"/>
      <c r="E99" s="1"/>
      <c r="F99" s="5">
        <v>0.28999999999999998</v>
      </c>
    </row>
    <row r="100" spans="2:6" x14ac:dyDescent="0.25">
      <c r="B100" s="5" t="s">
        <v>17</v>
      </c>
      <c r="C100" s="1"/>
      <c r="D100" s="1"/>
      <c r="E100" s="1"/>
      <c r="F100" s="5">
        <v>0.32</v>
      </c>
    </row>
    <row r="101" spans="2:6" x14ac:dyDescent="0.25">
      <c r="B101" s="5" t="s">
        <v>18</v>
      </c>
      <c r="C101" s="1"/>
      <c r="D101" s="1"/>
      <c r="E101" s="1"/>
      <c r="F101" s="5">
        <v>1.97</v>
      </c>
    </row>
    <row r="102" spans="2:6" x14ac:dyDescent="0.25">
      <c r="B102" s="5" t="s">
        <v>19</v>
      </c>
      <c r="C102" s="1"/>
      <c r="D102" s="1"/>
      <c r="E102" s="1"/>
      <c r="F102" s="5">
        <v>3.51</v>
      </c>
    </row>
    <row r="103" spans="2:6" x14ac:dyDescent="0.25">
      <c r="B103" s="10" t="s">
        <v>20</v>
      </c>
      <c r="C103" s="1"/>
      <c r="D103" s="1"/>
      <c r="E103" s="1"/>
      <c r="F103" s="4">
        <f>SUM(F91:F102)</f>
        <v>16.489999999999998</v>
      </c>
    </row>
    <row r="104" spans="2:6" x14ac:dyDescent="0.25">
      <c r="B104" s="3" t="s">
        <v>21</v>
      </c>
      <c r="C104" s="1"/>
      <c r="D104" s="1"/>
      <c r="E104" s="1"/>
      <c r="F104" s="1"/>
    </row>
    <row r="105" spans="2:6" x14ac:dyDescent="0.25">
      <c r="B105" s="15" t="s">
        <v>252</v>
      </c>
      <c r="C105" s="1" t="s">
        <v>256</v>
      </c>
      <c r="D105" s="1">
        <v>1</v>
      </c>
      <c r="E105" s="1">
        <v>40</v>
      </c>
      <c r="F105" s="24">
        <f>E105/397.2*1000/12</f>
        <v>8.3920778784827128</v>
      </c>
    </row>
    <row r="106" spans="2:6" x14ac:dyDescent="0.25">
      <c r="B106" s="15" t="s">
        <v>280</v>
      </c>
      <c r="C106" s="1" t="s">
        <v>26</v>
      </c>
      <c r="D106" s="1">
        <v>30</v>
      </c>
      <c r="E106" s="1">
        <v>20</v>
      </c>
      <c r="F106" s="24">
        <f t="shared" ref="F106:F116" si="2">E106/397.2*1000/12</f>
        <v>4.1960389392413564</v>
      </c>
    </row>
    <row r="107" spans="2:6" x14ac:dyDescent="0.25">
      <c r="B107" s="26" t="s">
        <v>316</v>
      </c>
      <c r="C107" s="1" t="s">
        <v>261</v>
      </c>
      <c r="D107" s="1">
        <v>14</v>
      </c>
      <c r="E107" s="1">
        <v>16.8</v>
      </c>
      <c r="F107" s="24">
        <f t="shared" si="2"/>
        <v>3.5246727089627394</v>
      </c>
    </row>
    <row r="108" spans="2:6" x14ac:dyDescent="0.25">
      <c r="B108" s="1"/>
      <c r="C108" s="1"/>
      <c r="D108" s="1"/>
      <c r="E108" s="1"/>
      <c r="F108" s="24">
        <f t="shared" si="2"/>
        <v>0</v>
      </c>
    </row>
    <row r="109" spans="2:6" x14ac:dyDescent="0.25">
      <c r="B109" s="1"/>
      <c r="C109" s="1"/>
      <c r="D109" s="1"/>
      <c r="E109" s="1"/>
      <c r="F109" s="24">
        <f t="shared" si="2"/>
        <v>0</v>
      </c>
    </row>
    <row r="110" spans="2:6" x14ac:dyDescent="0.25">
      <c r="B110" s="1"/>
      <c r="C110" s="1"/>
      <c r="D110" s="1"/>
      <c r="E110" s="1"/>
      <c r="F110" s="24">
        <f t="shared" si="2"/>
        <v>0</v>
      </c>
    </row>
    <row r="111" spans="2:6" x14ac:dyDescent="0.25">
      <c r="B111" s="1"/>
      <c r="C111" s="1"/>
      <c r="D111" s="1"/>
      <c r="E111" s="1"/>
      <c r="F111" s="24">
        <f t="shared" si="2"/>
        <v>0</v>
      </c>
    </row>
    <row r="112" spans="2:6" x14ac:dyDescent="0.25">
      <c r="B112" s="1"/>
      <c r="C112" s="1"/>
      <c r="D112" s="1"/>
      <c r="E112" s="1"/>
      <c r="F112" s="24">
        <f t="shared" si="2"/>
        <v>0</v>
      </c>
    </row>
    <row r="113" spans="2:6" x14ac:dyDescent="0.25">
      <c r="B113" s="1"/>
      <c r="C113" s="1"/>
      <c r="D113" s="1"/>
      <c r="E113" s="1"/>
      <c r="F113" s="24">
        <f t="shared" si="2"/>
        <v>0</v>
      </c>
    </row>
    <row r="114" spans="2:6" x14ac:dyDescent="0.25">
      <c r="B114" s="1"/>
      <c r="C114" s="1"/>
      <c r="D114" s="1"/>
      <c r="E114" s="1"/>
      <c r="F114" s="24">
        <f t="shared" si="2"/>
        <v>0</v>
      </c>
    </row>
    <row r="115" spans="2:6" x14ac:dyDescent="0.25">
      <c r="B115" s="1"/>
      <c r="C115" s="1"/>
      <c r="D115" s="1"/>
      <c r="E115" s="1"/>
      <c r="F115" s="24">
        <f t="shared" si="2"/>
        <v>0</v>
      </c>
    </row>
    <row r="116" spans="2:6" x14ac:dyDescent="0.25">
      <c r="B116" s="1"/>
      <c r="C116" s="1"/>
      <c r="D116" s="1"/>
      <c r="E116" s="1"/>
      <c r="F116" s="24">
        <f t="shared" si="2"/>
        <v>0</v>
      </c>
    </row>
    <row r="117" spans="2:6" x14ac:dyDescent="0.25">
      <c r="B117" s="10" t="s">
        <v>20</v>
      </c>
      <c r="C117" s="1"/>
      <c r="D117" s="1"/>
      <c r="E117" s="4">
        <f>SUM(E105:E116)</f>
        <v>76.8</v>
      </c>
      <c r="F117" s="22">
        <f>SUM(F105:F116)</f>
        <v>16.112789526686807</v>
      </c>
    </row>
    <row r="118" spans="2:6" x14ac:dyDescent="0.25">
      <c r="B118" s="4" t="s">
        <v>22</v>
      </c>
      <c r="C118" s="6"/>
      <c r="D118" s="6"/>
      <c r="E118" s="6"/>
      <c r="F118" s="23">
        <f>F103+F117</f>
        <v>32.602789526686806</v>
      </c>
    </row>
    <row r="119" spans="2:6" x14ac:dyDescent="0.25">
      <c r="B119" s="7"/>
      <c r="C119" s="7"/>
      <c r="D119" s="7"/>
      <c r="E119" s="7"/>
      <c r="F119" s="7"/>
    </row>
    <row r="120" spans="2:6" x14ac:dyDescent="0.25">
      <c r="B120" s="18"/>
      <c r="C120" s="18"/>
      <c r="D120" s="18"/>
      <c r="E120" s="18"/>
      <c r="F120" s="18"/>
    </row>
    <row r="121" spans="2:6" x14ac:dyDescent="0.25">
      <c r="B121" s="18"/>
      <c r="C121" s="18"/>
      <c r="D121" s="18"/>
      <c r="E121" s="18"/>
      <c r="F121" s="18"/>
    </row>
    <row r="122" spans="2:6" x14ac:dyDescent="0.25">
      <c r="B122" s="39" t="s">
        <v>23</v>
      </c>
      <c r="C122" s="38"/>
      <c r="D122" s="38"/>
      <c r="E122" s="39" t="s">
        <v>24</v>
      </c>
      <c r="F122" s="38"/>
    </row>
    <row r="124" spans="2:6" ht="34.15" customHeight="1" x14ac:dyDescent="0.25">
      <c r="B124" s="37" t="s">
        <v>218</v>
      </c>
      <c r="C124" s="37"/>
      <c r="D124" s="37"/>
      <c r="E124" s="37"/>
      <c r="F124" s="37"/>
    </row>
    <row r="125" spans="2:6" ht="30.6" customHeight="1" x14ac:dyDescent="0.25">
      <c r="B125" s="37" t="s">
        <v>1</v>
      </c>
      <c r="C125" s="37"/>
      <c r="D125" s="37"/>
      <c r="E125" s="37"/>
      <c r="F125" s="37"/>
    </row>
    <row r="126" spans="2:6" x14ac:dyDescent="0.25">
      <c r="B126" s="16" t="s">
        <v>0</v>
      </c>
      <c r="C126" s="16"/>
      <c r="D126" s="16"/>
      <c r="E126" s="16"/>
      <c r="F126" s="16"/>
    </row>
    <row r="127" spans="2:6" x14ac:dyDescent="0.25">
      <c r="B127" s="17"/>
      <c r="C127" s="38" t="s">
        <v>25</v>
      </c>
      <c r="D127" s="38"/>
      <c r="E127" s="17">
        <v>556.4</v>
      </c>
      <c r="F127" s="17" t="s">
        <v>26</v>
      </c>
    </row>
    <row r="129" spans="2:6" ht="45" x14ac:dyDescent="0.25">
      <c r="B129" s="1" t="s">
        <v>2</v>
      </c>
      <c r="C129" s="1" t="s">
        <v>4</v>
      </c>
      <c r="D129" s="1" t="s">
        <v>3</v>
      </c>
      <c r="E129" s="1" t="s">
        <v>447</v>
      </c>
      <c r="F129" s="1" t="s">
        <v>5</v>
      </c>
    </row>
    <row r="130" spans="2:6" x14ac:dyDescent="0.25">
      <c r="B130" s="1"/>
      <c r="C130" s="1"/>
      <c r="D130" s="1"/>
      <c r="E130" s="1"/>
      <c r="F130" s="1"/>
    </row>
    <row r="131" spans="2:6" x14ac:dyDescent="0.25">
      <c r="B131" s="3" t="s">
        <v>6</v>
      </c>
      <c r="C131" s="1"/>
      <c r="D131" s="1"/>
      <c r="E131" s="1"/>
      <c r="F131" s="1"/>
    </row>
    <row r="132" spans="2:6" x14ac:dyDescent="0.25">
      <c r="B132" s="5" t="s">
        <v>7</v>
      </c>
      <c r="C132" s="1"/>
      <c r="D132" s="1"/>
      <c r="E132" s="1"/>
      <c r="F132" s="5">
        <v>2.0099999999999998</v>
      </c>
    </row>
    <row r="133" spans="2:6" x14ac:dyDescent="0.25">
      <c r="B133" s="5" t="s">
        <v>8</v>
      </c>
      <c r="C133" s="1"/>
      <c r="D133" s="1"/>
      <c r="E133" s="1"/>
      <c r="F133" s="5">
        <v>5.34</v>
      </c>
    </row>
    <row r="134" spans="2:6" x14ac:dyDescent="0.25">
      <c r="B134" s="5" t="s">
        <v>11</v>
      </c>
      <c r="C134" s="1"/>
      <c r="D134" s="1"/>
      <c r="E134" s="1"/>
      <c r="F134" s="5">
        <v>0.55000000000000004</v>
      </c>
    </row>
    <row r="135" spans="2:6" x14ac:dyDescent="0.25">
      <c r="B135" s="5" t="s">
        <v>12</v>
      </c>
      <c r="C135" s="1"/>
      <c r="D135" s="1"/>
      <c r="E135" s="1"/>
      <c r="F135" s="5">
        <v>0.53</v>
      </c>
    </row>
    <row r="136" spans="2:6" x14ac:dyDescent="0.25">
      <c r="B136" s="5" t="s">
        <v>13</v>
      </c>
      <c r="C136" s="1"/>
      <c r="D136" s="1"/>
      <c r="E136" s="1"/>
      <c r="F136" s="5">
        <v>0.19</v>
      </c>
    </row>
    <row r="137" spans="2:6" x14ac:dyDescent="0.25">
      <c r="B137" s="5" t="s">
        <v>14</v>
      </c>
      <c r="C137" s="1"/>
      <c r="D137" s="1"/>
      <c r="E137" s="1"/>
      <c r="F137" s="5">
        <v>1.25</v>
      </c>
    </row>
    <row r="138" spans="2:6" ht="24.75" x14ac:dyDescent="0.25">
      <c r="B138" s="5" t="s">
        <v>9</v>
      </c>
      <c r="C138" s="1"/>
      <c r="D138" s="1"/>
      <c r="E138" s="1"/>
      <c r="F138" s="5">
        <v>0.26</v>
      </c>
    </row>
    <row r="139" spans="2:6" x14ac:dyDescent="0.25">
      <c r="B139" s="5" t="s">
        <v>15</v>
      </c>
      <c r="C139" s="1"/>
      <c r="D139" s="1"/>
      <c r="E139" s="1"/>
      <c r="F139" s="5">
        <v>0.27</v>
      </c>
    </row>
    <row r="140" spans="2:6" ht="24.75" x14ac:dyDescent="0.25">
      <c r="B140" s="5" t="s">
        <v>16</v>
      </c>
      <c r="C140" s="1"/>
      <c r="D140" s="1"/>
      <c r="E140" s="1"/>
      <c r="F140" s="5">
        <v>0.28999999999999998</v>
      </c>
    </row>
    <row r="141" spans="2:6" x14ac:dyDescent="0.25">
      <c r="B141" s="5" t="s">
        <v>17</v>
      </c>
      <c r="C141" s="1"/>
      <c r="D141" s="1"/>
      <c r="E141" s="1"/>
      <c r="F141" s="5">
        <v>0.32</v>
      </c>
    </row>
    <row r="142" spans="2:6" x14ac:dyDescent="0.25">
      <c r="B142" s="5" t="s">
        <v>18</v>
      </c>
      <c r="C142" s="1"/>
      <c r="D142" s="1"/>
      <c r="E142" s="1"/>
      <c r="F142" s="5">
        <v>1.97</v>
      </c>
    </row>
    <row r="143" spans="2:6" x14ac:dyDescent="0.25">
      <c r="B143" s="5" t="s">
        <v>19</v>
      </c>
      <c r="C143" s="1"/>
      <c r="D143" s="1"/>
      <c r="E143" s="1"/>
      <c r="F143" s="5">
        <v>3.51</v>
      </c>
    </row>
    <row r="144" spans="2:6" x14ac:dyDescent="0.25">
      <c r="B144" s="10" t="s">
        <v>20</v>
      </c>
      <c r="C144" s="1"/>
      <c r="D144" s="1"/>
      <c r="E144" s="1"/>
      <c r="F144" s="4">
        <f>SUM(F132:F143)</f>
        <v>16.489999999999998</v>
      </c>
    </row>
    <row r="145" spans="2:6" x14ac:dyDescent="0.25">
      <c r="B145" s="3" t="s">
        <v>21</v>
      </c>
      <c r="C145" s="1"/>
      <c r="D145" s="1"/>
      <c r="E145" s="1"/>
      <c r="F145" s="1"/>
    </row>
    <row r="146" spans="2:6" x14ac:dyDescent="0.25">
      <c r="B146" s="15" t="s">
        <v>252</v>
      </c>
      <c r="C146" s="1" t="s">
        <v>256</v>
      </c>
      <c r="D146" s="1">
        <v>2</v>
      </c>
      <c r="E146" s="1">
        <v>80</v>
      </c>
      <c r="F146" s="24">
        <f>E146/556.4*1000/12</f>
        <v>11.981787682722263</v>
      </c>
    </row>
    <row r="147" spans="2:6" x14ac:dyDescent="0.25">
      <c r="B147" s="15" t="s">
        <v>269</v>
      </c>
      <c r="C147" s="1" t="s">
        <v>261</v>
      </c>
      <c r="D147" s="1">
        <v>4</v>
      </c>
      <c r="E147" s="1">
        <v>20</v>
      </c>
      <c r="F147" s="24">
        <f t="shared" ref="F147:F157" si="3">E147/556.4*1000/12</f>
        <v>2.9954469206805658</v>
      </c>
    </row>
    <row r="148" spans="2:6" x14ac:dyDescent="0.25">
      <c r="B148" s="15" t="s">
        <v>253</v>
      </c>
      <c r="C148" s="1" t="s">
        <v>26</v>
      </c>
      <c r="D148" s="1">
        <v>96</v>
      </c>
      <c r="E148" s="1">
        <v>70</v>
      </c>
      <c r="F148" s="24">
        <f t="shared" si="3"/>
        <v>10.48406422238198</v>
      </c>
    </row>
    <row r="149" spans="2:6" x14ac:dyDescent="0.25">
      <c r="B149" s="15" t="s">
        <v>289</v>
      </c>
      <c r="C149" s="1" t="s">
        <v>26</v>
      </c>
      <c r="D149" s="1">
        <v>4</v>
      </c>
      <c r="E149" s="1">
        <v>5</v>
      </c>
      <c r="F149" s="24">
        <f t="shared" si="3"/>
        <v>0.74886173017014146</v>
      </c>
    </row>
    <row r="150" spans="2:6" x14ac:dyDescent="0.25">
      <c r="B150" s="15" t="s">
        <v>276</v>
      </c>
      <c r="C150" s="1" t="s">
        <v>26</v>
      </c>
      <c r="D150" s="1">
        <v>450</v>
      </c>
      <c r="E150" s="1">
        <v>360</v>
      </c>
      <c r="F150" s="24">
        <f t="shared" si="3"/>
        <v>53.918044572250182</v>
      </c>
    </row>
    <row r="151" spans="2:6" x14ac:dyDescent="0.25">
      <c r="B151" s="15" t="s">
        <v>257</v>
      </c>
      <c r="C151" s="1" t="s">
        <v>26</v>
      </c>
      <c r="D151" s="1">
        <v>557</v>
      </c>
      <c r="E151" s="1">
        <v>668</v>
      </c>
      <c r="F151" s="24">
        <f t="shared" si="3"/>
        <v>100.0479271507309</v>
      </c>
    </row>
    <row r="152" spans="2:6" x14ac:dyDescent="0.25">
      <c r="B152" s="15" t="s">
        <v>255</v>
      </c>
      <c r="C152" s="1" t="s">
        <v>26</v>
      </c>
      <c r="D152" s="1">
        <v>2.8</v>
      </c>
      <c r="E152" s="1">
        <v>7</v>
      </c>
      <c r="F152" s="24">
        <f t="shared" si="3"/>
        <v>1.0484064222381979</v>
      </c>
    </row>
    <row r="153" spans="2:6" x14ac:dyDescent="0.25">
      <c r="B153" s="15" t="s">
        <v>260</v>
      </c>
      <c r="C153" s="1" t="s">
        <v>256</v>
      </c>
      <c r="D153" s="1">
        <v>2</v>
      </c>
      <c r="E153" s="1">
        <v>110</v>
      </c>
      <c r="F153" s="24">
        <f t="shared" si="3"/>
        <v>16.474958063743109</v>
      </c>
    </row>
    <row r="154" spans="2:6" x14ac:dyDescent="0.25">
      <c r="B154" s="26" t="s">
        <v>316</v>
      </c>
      <c r="C154" s="1" t="s">
        <v>261</v>
      </c>
      <c r="D154" s="1">
        <v>18</v>
      </c>
      <c r="E154" s="1">
        <v>21.6</v>
      </c>
      <c r="F154" s="24">
        <f t="shared" si="3"/>
        <v>3.2350826743350112</v>
      </c>
    </row>
    <row r="155" spans="2:6" x14ac:dyDescent="0.25">
      <c r="B155" s="1"/>
      <c r="C155" s="1"/>
      <c r="D155" s="1"/>
      <c r="E155" s="1"/>
      <c r="F155" s="24">
        <f t="shared" si="3"/>
        <v>0</v>
      </c>
    </row>
    <row r="156" spans="2:6" x14ac:dyDescent="0.25">
      <c r="B156" s="1"/>
      <c r="C156" s="1"/>
      <c r="D156" s="1"/>
      <c r="E156" s="1"/>
      <c r="F156" s="24">
        <f t="shared" si="3"/>
        <v>0</v>
      </c>
    </row>
    <row r="157" spans="2:6" x14ac:dyDescent="0.25">
      <c r="B157" s="1"/>
      <c r="C157" s="1"/>
      <c r="D157" s="1"/>
      <c r="E157" s="1"/>
      <c r="F157" s="24">
        <f t="shared" si="3"/>
        <v>0</v>
      </c>
    </row>
    <row r="158" spans="2:6" x14ac:dyDescent="0.25">
      <c r="B158" s="10" t="s">
        <v>20</v>
      </c>
      <c r="C158" s="1"/>
      <c r="D158" s="1"/>
      <c r="E158" s="4">
        <f>SUM(E146:E157)</f>
        <v>1341.6</v>
      </c>
      <c r="F158" s="22">
        <f>SUM(F146:F157)</f>
        <v>200.93457943925239</v>
      </c>
    </row>
    <row r="159" spans="2:6" x14ac:dyDescent="0.25">
      <c r="B159" s="4" t="s">
        <v>22</v>
      </c>
      <c r="C159" s="6"/>
      <c r="D159" s="6"/>
      <c r="E159" s="6"/>
      <c r="F159" s="23">
        <f>F144+F158</f>
        <v>217.4245794392524</v>
      </c>
    </row>
    <row r="160" spans="2:6" x14ac:dyDescent="0.25">
      <c r="B160" s="7"/>
      <c r="C160" s="7"/>
      <c r="D160" s="7"/>
      <c r="E160" s="7"/>
      <c r="F160" s="7"/>
    </row>
    <row r="161" spans="2:6" x14ac:dyDescent="0.25">
      <c r="B161" s="18"/>
      <c r="C161" s="18"/>
      <c r="D161" s="18"/>
      <c r="E161" s="18"/>
      <c r="F161" s="18"/>
    </row>
    <row r="162" spans="2:6" x14ac:dyDescent="0.25">
      <c r="B162" s="18"/>
      <c r="C162" s="18"/>
      <c r="D162" s="18"/>
      <c r="E162" s="18"/>
      <c r="F162" s="18"/>
    </row>
    <row r="163" spans="2:6" x14ac:dyDescent="0.25">
      <c r="B163" s="39" t="s">
        <v>23</v>
      </c>
      <c r="C163" s="38"/>
      <c r="D163" s="38"/>
      <c r="E163" s="39" t="s">
        <v>24</v>
      </c>
      <c r="F163" s="38"/>
    </row>
    <row r="165" spans="2:6" ht="25.15" customHeight="1" x14ac:dyDescent="0.25">
      <c r="B165" s="37" t="s">
        <v>219</v>
      </c>
      <c r="C165" s="37"/>
      <c r="D165" s="37"/>
      <c r="E165" s="37"/>
      <c r="F165" s="37"/>
    </row>
    <row r="166" spans="2:6" ht="28.9" customHeight="1" x14ac:dyDescent="0.25">
      <c r="B166" s="37" t="s">
        <v>1</v>
      </c>
      <c r="C166" s="37"/>
      <c r="D166" s="37"/>
      <c r="E166" s="37"/>
      <c r="F166" s="37"/>
    </row>
    <row r="167" spans="2:6" x14ac:dyDescent="0.25">
      <c r="B167" s="16" t="s">
        <v>0</v>
      </c>
      <c r="C167" s="16"/>
      <c r="D167" s="16"/>
      <c r="E167" s="16"/>
      <c r="F167" s="16"/>
    </row>
    <row r="168" spans="2:6" x14ac:dyDescent="0.25">
      <c r="B168" s="17"/>
      <c r="C168" s="38" t="s">
        <v>25</v>
      </c>
      <c r="D168" s="38"/>
      <c r="E168" s="17">
        <v>695.71</v>
      </c>
      <c r="F168" s="17" t="s">
        <v>26</v>
      </c>
    </row>
    <row r="170" spans="2:6" ht="45" x14ac:dyDescent="0.25">
      <c r="B170" s="1" t="s">
        <v>2</v>
      </c>
      <c r="C170" s="1" t="s">
        <v>4</v>
      </c>
      <c r="D170" s="1" t="s">
        <v>3</v>
      </c>
      <c r="E170" s="1" t="s">
        <v>447</v>
      </c>
      <c r="F170" s="1" t="s">
        <v>5</v>
      </c>
    </row>
    <row r="171" spans="2:6" x14ac:dyDescent="0.25">
      <c r="B171" s="1"/>
      <c r="C171" s="1"/>
      <c r="D171" s="1"/>
      <c r="E171" s="1"/>
      <c r="F171" s="1"/>
    </row>
    <row r="172" spans="2:6" x14ac:dyDescent="0.25">
      <c r="B172" s="3" t="s">
        <v>6</v>
      </c>
      <c r="C172" s="1"/>
      <c r="D172" s="1"/>
      <c r="E172" s="1"/>
      <c r="F172" s="1"/>
    </row>
    <row r="173" spans="2:6" x14ac:dyDescent="0.25">
      <c r="B173" s="5" t="s">
        <v>7</v>
      </c>
      <c r="C173" s="1"/>
      <c r="D173" s="1"/>
      <c r="E173" s="1"/>
      <c r="F173" s="5">
        <v>2.0099999999999998</v>
      </c>
    </row>
    <row r="174" spans="2:6" x14ac:dyDescent="0.25">
      <c r="B174" s="5" t="s">
        <v>8</v>
      </c>
      <c r="C174" s="1"/>
      <c r="D174" s="1"/>
      <c r="E174" s="1"/>
      <c r="F174" s="5">
        <v>5.34</v>
      </c>
    </row>
    <row r="175" spans="2:6" x14ac:dyDescent="0.25">
      <c r="B175" s="5" t="s">
        <v>11</v>
      </c>
      <c r="C175" s="1"/>
      <c r="D175" s="1"/>
      <c r="E175" s="1"/>
      <c r="F175" s="5">
        <v>0.55000000000000004</v>
      </c>
    </row>
    <row r="176" spans="2:6" x14ac:dyDescent="0.25">
      <c r="B176" s="5" t="s">
        <v>12</v>
      </c>
      <c r="C176" s="1"/>
      <c r="D176" s="1"/>
      <c r="E176" s="1"/>
      <c r="F176" s="5">
        <v>0.53</v>
      </c>
    </row>
    <row r="177" spans="2:6" x14ac:dyDescent="0.25">
      <c r="B177" s="5" t="s">
        <v>13</v>
      </c>
      <c r="C177" s="1"/>
      <c r="D177" s="1"/>
      <c r="E177" s="1"/>
      <c r="F177" s="5">
        <v>0.19</v>
      </c>
    </row>
    <row r="178" spans="2:6" x14ac:dyDescent="0.25">
      <c r="B178" s="5" t="s">
        <v>14</v>
      </c>
      <c r="C178" s="1"/>
      <c r="D178" s="1"/>
      <c r="E178" s="1"/>
      <c r="F178" s="5">
        <v>1.25</v>
      </c>
    </row>
    <row r="179" spans="2:6" ht="24.75" x14ac:dyDescent="0.25">
      <c r="B179" s="5" t="s">
        <v>9</v>
      </c>
      <c r="C179" s="1"/>
      <c r="D179" s="1"/>
      <c r="E179" s="1"/>
      <c r="F179" s="5">
        <v>0.26</v>
      </c>
    </row>
    <row r="180" spans="2:6" x14ac:dyDescent="0.25">
      <c r="B180" s="5" t="s">
        <v>15</v>
      </c>
      <c r="C180" s="1"/>
      <c r="D180" s="1"/>
      <c r="E180" s="1"/>
      <c r="F180" s="5">
        <v>0.27</v>
      </c>
    </row>
    <row r="181" spans="2:6" ht="24.75" x14ac:dyDescent="0.25">
      <c r="B181" s="5" t="s">
        <v>16</v>
      </c>
      <c r="C181" s="1"/>
      <c r="D181" s="1"/>
      <c r="E181" s="1"/>
      <c r="F181" s="5">
        <v>0.28999999999999998</v>
      </c>
    </row>
    <row r="182" spans="2:6" x14ac:dyDescent="0.25">
      <c r="B182" s="5" t="s">
        <v>17</v>
      </c>
      <c r="C182" s="1"/>
      <c r="D182" s="1"/>
      <c r="E182" s="1"/>
      <c r="F182" s="5">
        <v>0.32</v>
      </c>
    </row>
    <row r="183" spans="2:6" x14ac:dyDescent="0.25">
      <c r="B183" s="5" t="s">
        <v>18</v>
      </c>
      <c r="C183" s="1"/>
      <c r="D183" s="1"/>
      <c r="E183" s="1"/>
      <c r="F183" s="5">
        <v>1.97</v>
      </c>
    </row>
    <row r="184" spans="2:6" x14ac:dyDescent="0.25">
      <c r="B184" s="5" t="s">
        <v>19</v>
      </c>
      <c r="C184" s="1"/>
      <c r="D184" s="1"/>
      <c r="E184" s="1"/>
      <c r="F184" s="5">
        <v>3.51</v>
      </c>
    </row>
    <row r="185" spans="2:6" x14ac:dyDescent="0.25">
      <c r="B185" s="10" t="s">
        <v>20</v>
      </c>
      <c r="C185" s="1"/>
      <c r="D185" s="1"/>
      <c r="E185" s="1"/>
      <c r="F185" s="4">
        <f>SUM(F173:F184)</f>
        <v>16.489999999999998</v>
      </c>
    </row>
    <row r="186" spans="2:6" x14ac:dyDescent="0.25">
      <c r="B186" s="3" t="s">
        <v>21</v>
      </c>
      <c r="C186" s="1"/>
      <c r="D186" s="1"/>
      <c r="E186" s="1"/>
      <c r="F186" s="1"/>
    </row>
    <row r="187" spans="2:6" x14ac:dyDescent="0.25">
      <c r="B187" s="15" t="s">
        <v>252</v>
      </c>
      <c r="C187" s="1" t="s">
        <v>256</v>
      </c>
      <c r="D187" s="1">
        <v>1</v>
      </c>
      <c r="E187" s="1">
        <v>40</v>
      </c>
      <c r="F187" s="24">
        <f>E187/695.71*1000/12</f>
        <v>4.791268392481542</v>
      </c>
    </row>
    <row r="188" spans="2:6" x14ac:dyDescent="0.25">
      <c r="B188" s="15" t="s">
        <v>253</v>
      </c>
      <c r="C188" s="1" t="s">
        <v>26</v>
      </c>
      <c r="D188" s="1">
        <v>90</v>
      </c>
      <c r="E188" s="1">
        <v>65</v>
      </c>
      <c r="F188" s="24">
        <f t="shared" ref="F188:F198" si="4">E188/695.71*1000/12</f>
        <v>7.7858111377825034</v>
      </c>
    </row>
    <row r="189" spans="2:6" x14ac:dyDescent="0.25">
      <c r="B189" s="1"/>
      <c r="C189" s="1"/>
      <c r="D189" s="1"/>
      <c r="E189" s="1"/>
      <c r="F189" s="24">
        <f t="shared" si="4"/>
        <v>0</v>
      </c>
    </row>
    <row r="190" spans="2:6" x14ac:dyDescent="0.25">
      <c r="B190" s="1"/>
      <c r="C190" s="1"/>
      <c r="D190" s="1"/>
      <c r="E190" s="1"/>
      <c r="F190" s="24">
        <f t="shared" si="4"/>
        <v>0</v>
      </c>
    </row>
    <row r="191" spans="2:6" x14ac:dyDescent="0.25">
      <c r="B191" s="1"/>
      <c r="C191" s="1"/>
      <c r="D191" s="1"/>
      <c r="E191" s="1"/>
      <c r="F191" s="24">
        <f t="shared" si="4"/>
        <v>0</v>
      </c>
    </row>
    <row r="192" spans="2:6" x14ac:dyDescent="0.25">
      <c r="B192" s="1"/>
      <c r="C192" s="1"/>
      <c r="D192" s="1"/>
      <c r="E192" s="1"/>
      <c r="F192" s="24">
        <f t="shared" si="4"/>
        <v>0</v>
      </c>
    </row>
    <row r="193" spans="2:6" x14ac:dyDescent="0.25">
      <c r="B193" s="1"/>
      <c r="C193" s="1"/>
      <c r="D193" s="1"/>
      <c r="E193" s="1"/>
      <c r="F193" s="24">
        <f t="shared" si="4"/>
        <v>0</v>
      </c>
    </row>
    <row r="194" spans="2:6" x14ac:dyDescent="0.25">
      <c r="B194" s="1"/>
      <c r="C194" s="1"/>
      <c r="D194" s="1"/>
      <c r="E194" s="1"/>
      <c r="F194" s="24">
        <f t="shared" si="4"/>
        <v>0</v>
      </c>
    </row>
    <row r="195" spans="2:6" x14ac:dyDescent="0.25">
      <c r="B195" s="1"/>
      <c r="C195" s="1"/>
      <c r="D195" s="1"/>
      <c r="E195" s="1"/>
      <c r="F195" s="24">
        <f t="shared" si="4"/>
        <v>0</v>
      </c>
    </row>
    <row r="196" spans="2:6" x14ac:dyDescent="0.25">
      <c r="B196" s="1"/>
      <c r="C196" s="1"/>
      <c r="D196" s="1"/>
      <c r="E196" s="1"/>
      <c r="F196" s="24">
        <f t="shared" si="4"/>
        <v>0</v>
      </c>
    </row>
    <row r="197" spans="2:6" x14ac:dyDescent="0.25">
      <c r="B197" s="1"/>
      <c r="C197" s="1"/>
      <c r="D197" s="1"/>
      <c r="E197" s="1"/>
      <c r="F197" s="24">
        <f t="shared" si="4"/>
        <v>0</v>
      </c>
    </row>
    <row r="198" spans="2:6" x14ac:dyDescent="0.25">
      <c r="B198" s="1"/>
      <c r="C198" s="1"/>
      <c r="D198" s="1"/>
      <c r="E198" s="1"/>
      <c r="F198" s="24">
        <f t="shared" si="4"/>
        <v>0</v>
      </c>
    </row>
    <row r="199" spans="2:6" x14ac:dyDescent="0.25">
      <c r="B199" s="10" t="s">
        <v>20</v>
      </c>
      <c r="C199" s="1"/>
      <c r="D199" s="1"/>
      <c r="E199" s="4">
        <f>SUM(E187:E198)</f>
        <v>105</v>
      </c>
      <c r="F199" s="22">
        <f>SUM(F187:F198)</f>
        <v>12.577079530264045</v>
      </c>
    </row>
    <row r="200" spans="2:6" x14ac:dyDescent="0.25">
      <c r="B200" s="4" t="s">
        <v>22</v>
      </c>
      <c r="C200" s="6"/>
      <c r="D200" s="6"/>
      <c r="E200" s="6"/>
      <c r="F200" s="23">
        <f>F185+F199</f>
        <v>29.067079530264046</v>
      </c>
    </row>
    <row r="201" spans="2:6" x14ac:dyDescent="0.25">
      <c r="B201" s="7"/>
      <c r="C201" s="7"/>
      <c r="D201" s="7"/>
      <c r="E201" s="7"/>
      <c r="F201" s="7"/>
    </row>
    <row r="202" spans="2:6" x14ac:dyDescent="0.25">
      <c r="B202" s="18"/>
      <c r="C202" s="18"/>
      <c r="D202" s="18"/>
      <c r="E202" s="18"/>
      <c r="F202" s="18"/>
    </row>
    <row r="203" spans="2:6" x14ac:dyDescent="0.25">
      <c r="B203" s="18"/>
      <c r="C203" s="18"/>
      <c r="D203" s="18"/>
      <c r="E203" s="18"/>
      <c r="F203" s="18"/>
    </row>
    <row r="204" spans="2:6" x14ac:dyDescent="0.25">
      <c r="B204" s="39" t="s">
        <v>23</v>
      </c>
      <c r="C204" s="38"/>
      <c r="D204" s="38"/>
      <c r="E204" s="39" t="s">
        <v>24</v>
      </c>
      <c r="F204" s="38"/>
    </row>
    <row r="205" spans="2:6" x14ac:dyDescent="0.25">
      <c r="B205" s="18"/>
      <c r="C205" s="17"/>
      <c r="D205" s="17"/>
      <c r="E205" s="18"/>
      <c r="F205" s="17"/>
    </row>
    <row r="206" spans="2:6" ht="32.450000000000003" customHeight="1" x14ac:dyDescent="0.25">
      <c r="B206" s="37" t="s">
        <v>220</v>
      </c>
      <c r="C206" s="37"/>
      <c r="D206" s="37"/>
      <c r="E206" s="37"/>
      <c r="F206" s="37"/>
    </row>
    <row r="207" spans="2:6" ht="34.15" customHeight="1" x14ac:dyDescent="0.25">
      <c r="B207" s="37" t="s">
        <v>1</v>
      </c>
      <c r="C207" s="37"/>
      <c r="D207" s="37"/>
      <c r="E207" s="37"/>
      <c r="F207" s="37"/>
    </row>
    <row r="208" spans="2:6" x14ac:dyDescent="0.25">
      <c r="B208" s="16" t="s">
        <v>0</v>
      </c>
      <c r="C208" s="16"/>
      <c r="D208" s="16"/>
      <c r="E208" s="16"/>
      <c r="F208" s="16"/>
    </row>
    <row r="209" spans="2:6" x14ac:dyDescent="0.25">
      <c r="B209" s="17"/>
      <c r="C209" s="38" t="s">
        <v>25</v>
      </c>
      <c r="D209" s="38"/>
      <c r="E209" s="17">
        <v>279.2</v>
      </c>
      <c r="F209" s="17" t="s">
        <v>26</v>
      </c>
    </row>
    <row r="211" spans="2:6" ht="59.45" customHeight="1" x14ac:dyDescent="0.25">
      <c r="B211" s="1" t="s">
        <v>2</v>
      </c>
      <c r="C211" s="1" t="s">
        <v>4</v>
      </c>
      <c r="D211" s="1" t="s">
        <v>3</v>
      </c>
      <c r="E211" s="1" t="s">
        <v>447</v>
      </c>
      <c r="F211" s="1" t="s">
        <v>5</v>
      </c>
    </row>
    <row r="212" spans="2:6" x14ac:dyDescent="0.25">
      <c r="B212" s="1"/>
      <c r="C212" s="1"/>
      <c r="D212" s="1"/>
      <c r="E212" s="1"/>
      <c r="F212" s="1"/>
    </row>
    <row r="213" spans="2:6" x14ac:dyDescent="0.25">
      <c r="B213" s="3" t="s">
        <v>6</v>
      </c>
      <c r="C213" s="1"/>
      <c r="D213" s="1"/>
      <c r="E213" s="1"/>
      <c r="F213" s="1"/>
    </row>
    <row r="214" spans="2:6" x14ac:dyDescent="0.25">
      <c r="B214" s="5" t="s">
        <v>7</v>
      </c>
      <c r="C214" s="1"/>
      <c r="D214" s="1"/>
      <c r="E214" s="1"/>
      <c r="F214" s="5">
        <v>2.0099999999999998</v>
      </c>
    </row>
    <row r="215" spans="2:6" x14ac:dyDescent="0.25">
      <c r="B215" s="5" t="s">
        <v>8</v>
      </c>
      <c r="C215" s="1"/>
      <c r="D215" s="1"/>
      <c r="E215" s="1"/>
      <c r="F215" s="5">
        <v>5.34</v>
      </c>
    </row>
    <row r="216" spans="2:6" x14ac:dyDescent="0.25">
      <c r="B216" s="5" t="s">
        <v>11</v>
      </c>
      <c r="C216" s="1"/>
      <c r="D216" s="1"/>
      <c r="E216" s="1"/>
      <c r="F216" s="5">
        <v>0.55000000000000004</v>
      </c>
    </row>
    <row r="217" spans="2:6" x14ac:dyDescent="0.25">
      <c r="B217" s="5" t="s">
        <v>12</v>
      </c>
      <c r="C217" s="1"/>
      <c r="D217" s="1"/>
      <c r="E217" s="1"/>
      <c r="F217" s="5">
        <v>0.53</v>
      </c>
    </row>
    <row r="218" spans="2:6" x14ac:dyDescent="0.25">
      <c r="B218" s="5" t="s">
        <v>13</v>
      </c>
      <c r="C218" s="1"/>
      <c r="D218" s="1"/>
      <c r="E218" s="1"/>
      <c r="F218" s="5">
        <v>0.19</v>
      </c>
    </row>
    <row r="219" spans="2:6" x14ac:dyDescent="0.25">
      <c r="B219" s="5" t="s">
        <v>14</v>
      </c>
      <c r="C219" s="1"/>
      <c r="D219" s="1"/>
      <c r="E219" s="1"/>
      <c r="F219" s="5">
        <v>1.25</v>
      </c>
    </row>
    <row r="220" spans="2:6" ht="24.75" x14ac:dyDescent="0.25">
      <c r="B220" s="5" t="s">
        <v>9</v>
      </c>
      <c r="C220" s="1"/>
      <c r="D220" s="1"/>
      <c r="E220" s="1"/>
      <c r="F220" s="5">
        <v>0.26</v>
      </c>
    </row>
    <row r="221" spans="2:6" x14ac:dyDescent="0.25">
      <c r="B221" s="5" t="s">
        <v>15</v>
      </c>
      <c r="C221" s="1"/>
      <c r="D221" s="1"/>
      <c r="E221" s="1"/>
      <c r="F221" s="5">
        <v>0.27</v>
      </c>
    </row>
    <row r="222" spans="2:6" ht="24.75" x14ac:dyDescent="0.25">
      <c r="B222" s="5" t="s">
        <v>16</v>
      </c>
      <c r="C222" s="1"/>
      <c r="D222" s="1"/>
      <c r="E222" s="1"/>
      <c r="F222" s="5">
        <v>0.28999999999999998</v>
      </c>
    </row>
    <row r="223" spans="2:6" x14ac:dyDescent="0.25">
      <c r="B223" s="5" t="s">
        <v>17</v>
      </c>
      <c r="C223" s="1"/>
      <c r="D223" s="1"/>
      <c r="E223" s="1"/>
      <c r="F223" s="5">
        <v>0.32</v>
      </c>
    </row>
    <row r="224" spans="2:6" x14ac:dyDescent="0.25">
      <c r="B224" s="5" t="s">
        <v>18</v>
      </c>
      <c r="C224" s="1"/>
      <c r="D224" s="1"/>
      <c r="E224" s="1"/>
      <c r="F224" s="5">
        <v>1.97</v>
      </c>
    </row>
    <row r="225" spans="2:6" x14ac:dyDescent="0.25">
      <c r="B225" s="5" t="s">
        <v>19</v>
      </c>
      <c r="C225" s="1"/>
      <c r="D225" s="1"/>
      <c r="E225" s="1"/>
      <c r="F225" s="5">
        <v>3.51</v>
      </c>
    </row>
    <row r="226" spans="2:6" x14ac:dyDescent="0.25">
      <c r="B226" s="10" t="s">
        <v>20</v>
      </c>
      <c r="C226" s="1"/>
      <c r="D226" s="1"/>
      <c r="E226" s="1"/>
      <c r="F226" s="4">
        <f>SUM(F214:F225)</f>
        <v>16.489999999999998</v>
      </c>
    </row>
    <row r="227" spans="2:6" x14ac:dyDescent="0.25">
      <c r="B227" s="3" t="s">
        <v>21</v>
      </c>
      <c r="C227" s="1"/>
      <c r="D227" s="1"/>
      <c r="E227" s="1"/>
      <c r="F227" s="1"/>
    </row>
    <row r="228" spans="2:6" x14ac:dyDescent="0.25">
      <c r="B228" s="15" t="s">
        <v>252</v>
      </c>
      <c r="C228" s="1" t="s">
        <v>256</v>
      </c>
      <c r="D228" s="1">
        <v>1</v>
      </c>
      <c r="E228" s="1">
        <v>40</v>
      </c>
      <c r="F228" s="24">
        <f>E228/279.2*1000/12</f>
        <v>11.938872970391598</v>
      </c>
    </row>
    <row r="229" spans="2:6" x14ac:dyDescent="0.25">
      <c r="B229" s="15" t="s">
        <v>269</v>
      </c>
      <c r="C229" s="1" t="s">
        <v>261</v>
      </c>
      <c r="D229" s="1">
        <v>2</v>
      </c>
      <c r="E229" s="1">
        <v>8</v>
      </c>
      <c r="F229" s="24">
        <f t="shared" ref="F229:F239" si="5">E229/279.2*1000/12</f>
        <v>2.3877745940783193</v>
      </c>
    </row>
    <row r="230" spans="2:6" x14ac:dyDescent="0.25">
      <c r="B230" s="15" t="s">
        <v>253</v>
      </c>
      <c r="C230" s="1" t="s">
        <v>26</v>
      </c>
      <c r="D230" s="1">
        <v>24</v>
      </c>
      <c r="E230" s="1">
        <v>20</v>
      </c>
      <c r="F230" s="24">
        <f t="shared" si="5"/>
        <v>5.9694364851957991</v>
      </c>
    </row>
    <row r="231" spans="2:6" x14ac:dyDescent="0.25">
      <c r="B231" s="15" t="s">
        <v>254</v>
      </c>
      <c r="C231" s="1" t="s">
        <v>26</v>
      </c>
      <c r="D231" s="1">
        <v>65</v>
      </c>
      <c r="E231" s="1">
        <v>40</v>
      </c>
      <c r="F231" s="24">
        <f t="shared" si="5"/>
        <v>11.938872970391598</v>
      </c>
    </row>
    <row r="232" spans="2:6" x14ac:dyDescent="0.25">
      <c r="B232" s="15" t="s">
        <v>257</v>
      </c>
      <c r="C232" s="1" t="s">
        <v>26</v>
      </c>
      <c r="D232" s="1">
        <v>280</v>
      </c>
      <c r="E232" s="1">
        <v>340</v>
      </c>
      <c r="F232" s="24">
        <f t="shared" si="5"/>
        <v>101.48042024832857</v>
      </c>
    </row>
    <row r="233" spans="2:6" x14ac:dyDescent="0.25">
      <c r="B233" s="15" t="s">
        <v>290</v>
      </c>
      <c r="C233" s="1" t="s">
        <v>291</v>
      </c>
      <c r="D233" s="1">
        <v>8</v>
      </c>
      <c r="E233" s="1">
        <v>6</v>
      </c>
      <c r="F233" s="24">
        <f t="shared" si="5"/>
        <v>1.7908309455587395</v>
      </c>
    </row>
    <row r="234" spans="2:6" x14ac:dyDescent="0.25">
      <c r="B234" s="15" t="s">
        <v>260</v>
      </c>
      <c r="C234" s="1" t="s">
        <v>256</v>
      </c>
      <c r="D234" s="1">
        <v>1</v>
      </c>
      <c r="E234" s="1">
        <v>55</v>
      </c>
      <c r="F234" s="24">
        <f t="shared" si="5"/>
        <v>16.415950334288443</v>
      </c>
    </row>
    <row r="235" spans="2:6" x14ac:dyDescent="0.25">
      <c r="B235" s="26" t="s">
        <v>316</v>
      </c>
      <c r="C235" s="1" t="s">
        <v>261</v>
      </c>
      <c r="D235" s="1">
        <v>12</v>
      </c>
      <c r="E235" s="1">
        <v>14.4</v>
      </c>
      <c r="F235" s="24">
        <f t="shared" si="5"/>
        <v>4.2979942693409745</v>
      </c>
    </row>
    <row r="236" spans="2:6" x14ac:dyDescent="0.25">
      <c r="B236" s="1"/>
      <c r="C236" s="1"/>
      <c r="D236" s="1"/>
      <c r="E236" s="1"/>
      <c r="F236" s="24">
        <f t="shared" si="5"/>
        <v>0</v>
      </c>
    </row>
    <row r="237" spans="2:6" x14ac:dyDescent="0.25">
      <c r="B237" s="1"/>
      <c r="C237" s="1"/>
      <c r="D237" s="1"/>
      <c r="E237" s="1"/>
      <c r="F237" s="24">
        <f t="shared" si="5"/>
        <v>0</v>
      </c>
    </row>
    <row r="238" spans="2:6" x14ac:dyDescent="0.25">
      <c r="B238" s="1"/>
      <c r="C238" s="1"/>
      <c r="D238" s="1"/>
      <c r="E238" s="1"/>
      <c r="F238" s="24">
        <f t="shared" si="5"/>
        <v>0</v>
      </c>
    </row>
    <row r="239" spans="2:6" x14ac:dyDescent="0.25">
      <c r="B239" s="1"/>
      <c r="C239" s="1"/>
      <c r="D239" s="1"/>
      <c r="E239" s="1"/>
      <c r="F239" s="24">
        <f t="shared" si="5"/>
        <v>0</v>
      </c>
    </row>
    <row r="240" spans="2:6" x14ac:dyDescent="0.25">
      <c r="B240" s="10" t="s">
        <v>20</v>
      </c>
      <c r="C240" s="1"/>
      <c r="D240" s="1"/>
      <c r="E240" s="4">
        <f>SUM(E228:E239)</f>
        <v>523.4</v>
      </c>
      <c r="F240" s="22">
        <f>SUM(F228:F239)</f>
        <v>156.22015281757405</v>
      </c>
    </row>
    <row r="241" spans="2:6" x14ac:dyDescent="0.25">
      <c r="B241" s="4" t="s">
        <v>22</v>
      </c>
      <c r="C241" s="6"/>
      <c r="D241" s="6"/>
      <c r="E241" s="6"/>
      <c r="F241" s="23">
        <f>F226+F240</f>
        <v>172.71015281757406</v>
      </c>
    </row>
    <row r="242" spans="2:6" x14ac:dyDescent="0.25">
      <c r="B242" s="7"/>
      <c r="C242" s="7"/>
      <c r="D242" s="7"/>
      <c r="E242" s="7"/>
      <c r="F242" s="7"/>
    </row>
    <row r="243" spans="2:6" x14ac:dyDescent="0.25">
      <c r="B243" s="18"/>
      <c r="C243" s="18"/>
      <c r="D243" s="18"/>
      <c r="E243" s="18"/>
      <c r="F243" s="18"/>
    </row>
    <row r="244" spans="2:6" x14ac:dyDescent="0.25">
      <c r="B244" s="18"/>
      <c r="C244" s="18"/>
      <c r="D244" s="18"/>
      <c r="E244" s="18"/>
      <c r="F244" s="18"/>
    </row>
    <row r="245" spans="2:6" x14ac:dyDescent="0.25">
      <c r="B245" s="39" t="s">
        <v>23</v>
      </c>
      <c r="C245" s="38"/>
      <c r="D245" s="38"/>
      <c r="E245" s="39" t="s">
        <v>24</v>
      </c>
      <c r="F245" s="38"/>
    </row>
    <row r="247" spans="2:6" ht="34.9" customHeight="1" x14ac:dyDescent="0.25">
      <c r="B247" s="37" t="s">
        <v>221</v>
      </c>
      <c r="C247" s="37"/>
      <c r="D247" s="37"/>
      <c r="E247" s="37"/>
      <c r="F247" s="37"/>
    </row>
    <row r="248" spans="2:6" ht="33" customHeight="1" x14ac:dyDescent="0.25">
      <c r="B248" s="37" t="s">
        <v>1</v>
      </c>
      <c r="C248" s="37"/>
      <c r="D248" s="37"/>
      <c r="E248" s="37"/>
      <c r="F248" s="37"/>
    </row>
    <row r="249" spans="2:6" x14ac:dyDescent="0.25">
      <c r="B249" s="16" t="s">
        <v>0</v>
      </c>
      <c r="C249" s="16"/>
      <c r="D249" s="16"/>
      <c r="E249" s="16"/>
      <c r="F249" s="16"/>
    </row>
    <row r="250" spans="2:6" x14ac:dyDescent="0.25">
      <c r="B250" s="17"/>
      <c r="C250" s="38" t="s">
        <v>25</v>
      </c>
      <c r="D250" s="38"/>
      <c r="E250" s="17">
        <v>383.2</v>
      </c>
      <c r="F250" s="17" t="s">
        <v>26</v>
      </c>
    </row>
    <row r="252" spans="2:6" ht="45" x14ac:dyDescent="0.25">
      <c r="B252" s="1" t="s">
        <v>2</v>
      </c>
      <c r="C252" s="1" t="s">
        <v>4</v>
      </c>
      <c r="D252" s="1" t="s">
        <v>3</v>
      </c>
      <c r="E252" s="1" t="s">
        <v>447</v>
      </c>
      <c r="F252" s="1" t="s">
        <v>5</v>
      </c>
    </row>
    <row r="253" spans="2:6" x14ac:dyDescent="0.25">
      <c r="B253" s="1"/>
      <c r="C253" s="1"/>
      <c r="D253" s="1"/>
      <c r="E253" s="1"/>
      <c r="F253" s="1"/>
    </row>
    <row r="254" spans="2:6" x14ac:dyDescent="0.25">
      <c r="B254" s="3" t="s">
        <v>6</v>
      </c>
      <c r="C254" s="1"/>
      <c r="D254" s="1"/>
      <c r="E254" s="1"/>
      <c r="F254" s="1"/>
    </row>
    <row r="255" spans="2:6" x14ac:dyDescent="0.25">
      <c r="B255" s="5" t="s">
        <v>7</v>
      </c>
      <c r="C255" s="1"/>
      <c r="D255" s="1"/>
      <c r="E255" s="1"/>
      <c r="F255" s="5">
        <v>2.0099999999999998</v>
      </c>
    </row>
    <row r="256" spans="2:6" x14ac:dyDescent="0.25">
      <c r="B256" s="5" t="s">
        <v>8</v>
      </c>
      <c r="C256" s="1"/>
      <c r="D256" s="1"/>
      <c r="E256" s="1"/>
      <c r="F256" s="5">
        <v>5.34</v>
      </c>
    </row>
    <row r="257" spans="2:6" x14ac:dyDescent="0.25">
      <c r="B257" s="5" t="s">
        <v>11</v>
      </c>
      <c r="C257" s="1"/>
      <c r="D257" s="1"/>
      <c r="E257" s="1"/>
      <c r="F257" s="5">
        <v>0.55000000000000004</v>
      </c>
    </row>
    <row r="258" spans="2:6" x14ac:dyDescent="0.25">
      <c r="B258" s="5" t="s">
        <v>12</v>
      </c>
      <c r="C258" s="1"/>
      <c r="D258" s="1"/>
      <c r="E258" s="1"/>
      <c r="F258" s="5">
        <v>0.51</v>
      </c>
    </row>
    <row r="259" spans="2:6" x14ac:dyDescent="0.25">
      <c r="B259" s="5" t="s">
        <v>13</v>
      </c>
      <c r="C259" s="1"/>
      <c r="D259" s="1"/>
      <c r="E259" s="1"/>
      <c r="F259" s="5">
        <v>0.19</v>
      </c>
    </row>
    <row r="260" spans="2:6" ht="24.75" x14ac:dyDescent="0.25">
      <c r="B260" s="5" t="s">
        <v>9</v>
      </c>
      <c r="C260" s="1"/>
      <c r="D260" s="1"/>
      <c r="E260" s="1"/>
      <c r="F260" s="5">
        <v>0.26</v>
      </c>
    </row>
    <row r="261" spans="2:6" x14ac:dyDescent="0.25">
      <c r="B261" s="5" t="s">
        <v>15</v>
      </c>
      <c r="C261" s="1"/>
      <c r="D261" s="1"/>
      <c r="E261" s="1"/>
      <c r="F261" s="5">
        <v>0.27</v>
      </c>
    </row>
    <row r="262" spans="2:6" ht="24.75" x14ac:dyDescent="0.25">
      <c r="B262" s="5" t="s">
        <v>16</v>
      </c>
      <c r="C262" s="1"/>
      <c r="D262" s="1"/>
      <c r="E262" s="1"/>
      <c r="F262" s="5">
        <v>0.28999999999999998</v>
      </c>
    </row>
    <row r="263" spans="2:6" x14ac:dyDescent="0.25">
      <c r="B263" s="5" t="s">
        <v>17</v>
      </c>
      <c r="C263" s="1"/>
      <c r="D263" s="1"/>
      <c r="E263" s="1"/>
      <c r="F263" s="5">
        <v>0.32</v>
      </c>
    </row>
    <row r="264" spans="2:6" x14ac:dyDescent="0.25">
      <c r="B264" s="5" t="s">
        <v>18</v>
      </c>
      <c r="C264" s="1"/>
      <c r="D264" s="1"/>
      <c r="E264" s="1"/>
      <c r="F264" s="5">
        <v>1.97</v>
      </c>
    </row>
    <row r="265" spans="2:6" x14ac:dyDescent="0.25">
      <c r="B265" s="5" t="s">
        <v>19</v>
      </c>
      <c r="C265" s="1"/>
      <c r="D265" s="1"/>
      <c r="E265" s="1"/>
      <c r="F265" s="5">
        <v>3.51</v>
      </c>
    </row>
    <row r="266" spans="2:6" x14ac:dyDescent="0.25">
      <c r="B266" s="10" t="s">
        <v>20</v>
      </c>
      <c r="C266" s="1"/>
      <c r="D266" s="1"/>
      <c r="E266" s="1"/>
      <c r="F266" s="4">
        <f>SUM(F255:F265)</f>
        <v>15.219999999999999</v>
      </c>
    </row>
    <row r="267" spans="2:6" x14ac:dyDescent="0.25">
      <c r="B267" s="3" t="s">
        <v>21</v>
      </c>
      <c r="C267" s="1"/>
      <c r="D267" s="1"/>
      <c r="E267" s="1"/>
      <c r="F267" s="1"/>
    </row>
    <row r="268" spans="2:6" x14ac:dyDescent="0.25">
      <c r="B268" s="15" t="s">
        <v>253</v>
      </c>
      <c r="C268" s="1" t="s">
        <v>26</v>
      </c>
      <c r="D268" s="1">
        <v>90</v>
      </c>
      <c r="E268" s="1">
        <v>65</v>
      </c>
      <c r="F268" s="24">
        <f>E268/383.2*1000/12</f>
        <v>14.135351426583158</v>
      </c>
    </row>
    <row r="269" spans="2:6" x14ac:dyDescent="0.25">
      <c r="B269" s="15" t="s">
        <v>276</v>
      </c>
      <c r="C269" s="1" t="s">
        <v>26</v>
      </c>
      <c r="D269" s="1">
        <v>450</v>
      </c>
      <c r="E269" s="1">
        <v>360</v>
      </c>
      <c r="F269" s="24">
        <f t="shared" ref="F269:F279" si="6">E269/383.2*1000/12</f>
        <v>78.28810020876827</v>
      </c>
    </row>
    <row r="270" spans="2:6" x14ac:dyDescent="0.25">
      <c r="B270" s="1"/>
      <c r="C270" s="1"/>
      <c r="D270" s="1"/>
      <c r="E270" s="1"/>
      <c r="F270" s="24">
        <f t="shared" si="6"/>
        <v>0</v>
      </c>
    </row>
    <row r="271" spans="2:6" x14ac:dyDescent="0.25">
      <c r="B271" s="1"/>
      <c r="C271" s="1"/>
      <c r="D271" s="1"/>
      <c r="E271" s="1"/>
      <c r="F271" s="24">
        <f t="shared" si="6"/>
        <v>0</v>
      </c>
    </row>
    <row r="272" spans="2:6" x14ac:dyDescent="0.25">
      <c r="B272" s="1"/>
      <c r="C272" s="1"/>
      <c r="D272" s="1"/>
      <c r="E272" s="1"/>
      <c r="F272" s="24">
        <f t="shared" si="6"/>
        <v>0</v>
      </c>
    </row>
    <row r="273" spans="2:6" x14ac:dyDescent="0.25">
      <c r="B273" s="1"/>
      <c r="C273" s="1"/>
      <c r="D273" s="1"/>
      <c r="E273" s="1"/>
      <c r="F273" s="24">
        <f t="shared" si="6"/>
        <v>0</v>
      </c>
    </row>
    <row r="274" spans="2:6" x14ac:dyDescent="0.25">
      <c r="B274" s="1"/>
      <c r="C274" s="1"/>
      <c r="D274" s="1"/>
      <c r="E274" s="1"/>
      <c r="F274" s="24">
        <f t="shared" si="6"/>
        <v>0</v>
      </c>
    </row>
    <row r="275" spans="2:6" x14ac:dyDescent="0.25">
      <c r="B275" s="1"/>
      <c r="C275" s="1"/>
      <c r="D275" s="1"/>
      <c r="E275" s="1"/>
      <c r="F275" s="24">
        <f t="shared" si="6"/>
        <v>0</v>
      </c>
    </row>
    <row r="276" spans="2:6" x14ac:dyDescent="0.25">
      <c r="B276" s="1"/>
      <c r="C276" s="1"/>
      <c r="D276" s="1"/>
      <c r="E276" s="1"/>
      <c r="F276" s="24">
        <f t="shared" si="6"/>
        <v>0</v>
      </c>
    </row>
    <row r="277" spans="2:6" x14ac:dyDescent="0.25">
      <c r="B277" s="1"/>
      <c r="C277" s="1"/>
      <c r="D277" s="1"/>
      <c r="E277" s="1"/>
      <c r="F277" s="24">
        <f t="shared" si="6"/>
        <v>0</v>
      </c>
    </row>
    <row r="278" spans="2:6" x14ac:dyDescent="0.25">
      <c r="B278" s="1"/>
      <c r="C278" s="1"/>
      <c r="D278" s="1"/>
      <c r="E278" s="1"/>
      <c r="F278" s="24">
        <f t="shared" si="6"/>
        <v>0</v>
      </c>
    </row>
    <row r="279" spans="2:6" x14ac:dyDescent="0.25">
      <c r="B279" s="1"/>
      <c r="C279" s="1"/>
      <c r="D279" s="1"/>
      <c r="E279" s="1"/>
      <c r="F279" s="24">
        <f t="shared" si="6"/>
        <v>0</v>
      </c>
    </row>
    <row r="280" spans="2:6" x14ac:dyDescent="0.25">
      <c r="B280" s="10" t="s">
        <v>20</v>
      </c>
      <c r="C280" s="1"/>
      <c r="D280" s="1"/>
      <c r="E280" s="4">
        <f>SUM(E268:E279)</f>
        <v>425</v>
      </c>
      <c r="F280" s="22">
        <f>SUM(F268:F279)</f>
        <v>92.423451635351427</v>
      </c>
    </row>
    <row r="281" spans="2:6" x14ac:dyDescent="0.25">
      <c r="B281" s="4" t="s">
        <v>22</v>
      </c>
      <c r="C281" s="6"/>
      <c r="D281" s="6"/>
      <c r="E281" s="6"/>
      <c r="F281" s="23">
        <f>F266+F280</f>
        <v>107.64345163535143</v>
      </c>
    </row>
    <row r="282" spans="2:6" x14ac:dyDescent="0.25">
      <c r="B282" s="7"/>
      <c r="C282" s="7"/>
      <c r="D282" s="7"/>
      <c r="E282" s="7"/>
      <c r="F282" s="7"/>
    </row>
    <row r="283" spans="2:6" x14ac:dyDescent="0.25">
      <c r="B283" s="18"/>
      <c r="C283" s="18"/>
      <c r="D283" s="18"/>
      <c r="E283" s="18"/>
      <c r="F283" s="18"/>
    </row>
    <row r="284" spans="2:6" x14ac:dyDescent="0.25">
      <c r="B284" s="18"/>
      <c r="C284" s="18"/>
      <c r="D284" s="18"/>
      <c r="E284" s="18"/>
      <c r="F284" s="18"/>
    </row>
    <row r="285" spans="2:6" x14ac:dyDescent="0.25">
      <c r="B285" s="39" t="s">
        <v>23</v>
      </c>
      <c r="C285" s="38"/>
      <c r="D285" s="38"/>
      <c r="E285" s="39" t="s">
        <v>24</v>
      </c>
      <c r="F285" s="38"/>
    </row>
    <row r="287" spans="2:6" ht="37.9" customHeight="1" x14ac:dyDescent="0.25">
      <c r="B287" s="37" t="s">
        <v>222</v>
      </c>
      <c r="C287" s="37"/>
      <c r="D287" s="37"/>
      <c r="E287" s="37"/>
      <c r="F287" s="37"/>
    </row>
    <row r="288" spans="2:6" ht="30.6" customHeight="1" x14ac:dyDescent="0.25">
      <c r="B288" s="37" t="s">
        <v>1</v>
      </c>
      <c r="C288" s="37"/>
      <c r="D288" s="37"/>
      <c r="E288" s="37"/>
      <c r="F288" s="37"/>
    </row>
    <row r="289" spans="2:6" x14ac:dyDescent="0.25">
      <c r="B289" s="16" t="s">
        <v>0</v>
      </c>
      <c r="C289" s="16"/>
      <c r="D289" s="16"/>
      <c r="E289" s="16"/>
      <c r="F289" s="16"/>
    </row>
    <row r="290" spans="2:6" x14ac:dyDescent="0.25">
      <c r="B290" s="17"/>
      <c r="C290" s="38" t="s">
        <v>25</v>
      </c>
      <c r="D290" s="38"/>
      <c r="E290" s="17">
        <v>477</v>
      </c>
      <c r="F290" s="17" t="s">
        <v>26</v>
      </c>
    </row>
    <row r="292" spans="2:6" ht="45" x14ac:dyDescent="0.25">
      <c r="B292" s="1" t="s">
        <v>2</v>
      </c>
      <c r="C292" s="1" t="s">
        <v>4</v>
      </c>
      <c r="D292" s="1" t="s">
        <v>3</v>
      </c>
      <c r="E292" s="1" t="s">
        <v>447</v>
      </c>
      <c r="F292" s="1" t="s">
        <v>5</v>
      </c>
    </row>
    <row r="293" spans="2:6" x14ac:dyDescent="0.25">
      <c r="B293" s="1"/>
      <c r="C293" s="1"/>
      <c r="D293" s="1"/>
      <c r="E293" s="1"/>
      <c r="F293" s="1"/>
    </row>
    <row r="294" spans="2:6" x14ac:dyDescent="0.25">
      <c r="B294" s="3" t="s">
        <v>6</v>
      </c>
      <c r="C294" s="1"/>
      <c r="D294" s="1"/>
      <c r="E294" s="1"/>
      <c r="F294" s="1"/>
    </row>
    <row r="295" spans="2:6" x14ac:dyDescent="0.25">
      <c r="B295" s="5" t="s">
        <v>7</v>
      </c>
      <c r="C295" s="1"/>
      <c r="D295" s="1"/>
      <c r="E295" s="1"/>
      <c r="F295" s="5">
        <v>2.0099999999999998</v>
      </c>
    </row>
    <row r="296" spans="2:6" x14ac:dyDescent="0.25">
      <c r="B296" s="5" t="s">
        <v>8</v>
      </c>
      <c r="C296" s="1"/>
      <c r="D296" s="1"/>
      <c r="E296" s="1"/>
      <c r="F296" s="5">
        <v>5.34</v>
      </c>
    </row>
    <row r="297" spans="2:6" x14ac:dyDescent="0.25">
      <c r="B297" s="5" t="s">
        <v>11</v>
      </c>
      <c r="C297" s="1"/>
      <c r="D297" s="1"/>
      <c r="E297" s="1"/>
      <c r="F297" s="5">
        <v>0.55000000000000004</v>
      </c>
    </row>
    <row r="298" spans="2:6" x14ac:dyDescent="0.25">
      <c r="B298" s="5" t="s">
        <v>12</v>
      </c>
      <c r="C298" s="1"/>
      <c r="D298" s="1"/>
      <c r="E298" s="1"/>
      <c r="F298" s="5">
        <v>0.53</v>
      </c>
    </row>
    <row r="299" spans="2:6" x14ac:dyDescent="0.25">
      <c r="B299" s="5" t="s">
        <v>13</v>
      </c>
      <c r="C299" s="1"/>
      <c r="D299" s="1"/>
      <c r="E299" s="1"/>
      <c r="F299" s="5">
        <v>0.19</v>
      </c>
    </row>
    <row r="300" spans="2:6" x14ac:dyDescent="0.25">
      <c r="B300" s="5" t="s">
        <v>14</v>
      </c>
      <c r="C300" s="1"/>
      <c r="D300" s="1"/>
      <c r="E300" s="1"/>
      <c r="F300" s="5">
        <v>1.25</v>
      </c>
    </row>
    <row r="301" spans="2:6" ht="24.75" x14ac:dyDescent="0.25">
      <c r="B301" s="5" t="s">
        <v>9</v>
      </c>
      <c r="C301" s="1"/>
      <c r="D301" s="1"/>
      <c r="E301" s="1"/>
      <c r="F301" s="5">
        <v>0.26</v>
      </c>
    </row>
    <row r="302" spans="2:6" x14ac:dyDescent="0.25">
      <c r="B302" s="5" t="s">
        <v>15</v>
      </c>
      <c r="C302" s="1"/>
      <c r="D302" s="1"/>
      <c r="E302" s="1"/>
      <c r="F302" s="5">
        <v>0.27</v>
      </c>
    </row>
    <row r="303" spans="2:6" ht="24.75" x14ac:dyDescent="0.25">
      <c r="B303" s="5" t="s">
        <v>16</v>
      </c>
      <c r="C303" s="1"/>
      <c r="D303" s="1"/>
      <c r="E303" s="1"/>
      <c r="F303" s="5">
        <v>0.28999999999999998</v>
      </c>
    </row>
    <row r="304" spans="2:6" x14ac:dyDescent="0.25">
      <c r="B304" s="5" t="s">
        <v>17</v>
      </c>
      <c r="C304" s="1"/>
      <c r="D304" s="1"/>
      <c r="E304" s="1"/>
      <c r="F304" s="5">
        <v>0.32</v>
      </c>
    </row>
    <row r="305" spans="2:6" x14ac:dyDescent="0.25">
      <c r="B305" s="5" t="s">
        <v>18</v>
      </c>
      <c r="C305" s="1"/>
      <c r="D305" s="1"/>
      <c r="E305" s="1"/>
      <c r="F305" s="5">
        <v>1.97</v>
      </c>
    </row>
    <row r="306" spans="2:6" x14ac:dyDescent="0.25">
      <c r="B306" s="5" t="s">
        <v>19</v>
      </c>
      <c r="C306" s="1"/>
      <c r="D306" s="1"/>
      <c r="E306" s="1"/>
      <c r="F306" s="5">
        <v>3.51</v>
      </c>
    </row>
    <row r="307" spans="2:6" x14ac:dyDescent="0.25">
      <c r="B307" s="10" t="s">
        <v>20</v>
      </c>
      <c r="C307" s="1"/>
      <c r="D307" s="1"/>
      <c r="E307" s="1"/>
      <c r="F307" s="4">
        <f>SUM(F295:F306)</f>
        <v>16.489999999999998</v>
      </c>
    </row>
    <row r="308" spans="2:6" x14ac:dyDescent="0.25">
      <c r="B308" s="3" t="s">
        <v>21</v>
      </c>
      <c r="C308" s="1"/>
      <c r="D308" s="1"/>
      <c r="E308" s="1"/>
      <c r="F308" s="1"/>
    </row>
    <row r="309" spans="2:6" x14ac:dyDescent="0.25">
      <c r="B309" s="15" t="s">
        <v>252</v>
      </c>
      <c r="C309" s="1" t="s">
        <v>256</v>
      </c>
      <c r="D309" s="1">
        <v>1</v>
      </c>
      <c r="E309" s="1">
        <v>40</v>
      </c>
      <c r="F309" s="24">
        <f>E309/477*1000/12</f>
        <v>6.9881201956673662</v>
      </c>
    </row>
    <row r="310" spans="2:6" x14ac:dyDescent="0.25">
      <c r="B310" s="15" t="s">
        <v>271</v>
      </c>
      <c r="C310" s="1" t="s">
        <v>261</v>
      </c>
      <c r="D310" s="1">
        <v>8</v>
      </c>
      <c r="E310" s="1">
        <v>9</v>
      </c>
      <c r="F310" s="24">
        <f t="shared" ref="F310:F320" si="7">E310/477*1000/12</f>
        <v>1.5723270440251571</v>
      </c>
    </row>
    <row r="311" spans="2:6" x14ac:dyDescent="0.25">
      <c r="B311" s="1"/>
      <c r="C311" s="1"/>
      <c r="D311" s="1"/>
      <c r="E311" s="1"/>
      <c r="F311" s="24">
        <f t="shared" si="7"/>
        <v>0</v>
      </c>
    </row>
    <row r="312" spans="2:6" x14ac:dyDescent="0.25">
      <c r="B312" s="1"/>
      <c r="C312" s="1"/>
      <c r="D312" s="1"/>
      <c r="E312" s="1"/>
      <c r="F312" s="24">
        <f t="shared" si="7"/>
        <v>0</v>
      </c>
    </row>
    <row r="313" spans="2:6" x14ac:dyDescent="0.25">
      <c r="B313" s="1"/>
      <c r="C313" s="1"/>
      <c r="D313" s="1"/>
      <c r="E313" s="1"/>
      <c r="F313" s="24">
        <f t="shared" si="7"/>
        <v>0</v>
      </c>
    </row>
    <row r="314" spans="2:6" x14ac:dyDescent="0.25">
      <c r="B314" s="1"/>
      <c r="C314" s="1"/>
      <c r="D314" s="1"/>
      <c r="E314" s="1"/>
      <c r="F314" s="24">
        <f t="shared" si="7"/>
        <v>0</v>
      </c>
    </row>
    <row r="315" spans="2:6" x14ac:dyDescent="0.25">
      <c r="B315" s="1"/>
      <c r="C315" s="1"/>
      <c r="D315" s="1"/>
      <c r="E315" s="1"/>
      <c r="F315" s="24">
        <f t="shared" si="7"/>
        <v>0</v>
      </c>
    </row>
    <row r="316" spans="2:6" x14ac:dyDescent="0.25">
      <c r="B316" s="1"/>
      <c r="C316" s="1"/>
      <c r="D316" s="1"/>
      <c r="E316" s="1"/>
      <c r="F316" s="24">
        <f t="shared" si="7"/>
        <v>0</v>
      </c>
    </row>
    <row r="317" spans="2:6" x14ac:dyDescent="0.25">
      <c r="B317" s="1"/>
      <c r="C317" s="1"/>
      <c r="D317" s="1"/>
      <c r="E317" s="1"/>
      <c r="F317" s="24">
        <f t="shared" si="7"/>
        <v>0</v>
      </c>
    </row>
    <row r="318" spans="2:6" x14ac:dyDescent="0.25">
      <c r="B318" s="1"/>
      <c r="C318" s="1"/>
      <c r="D318" s="1"/>
      <c r="E318" s="1"/>
      <c r="F318" s="24">
        <f t="shared" si="7"/>
        <v>0</v>
      </c>
    </row>
    <row r="319" spans="2:6" x14ac:dyDescent="0.25">
      <c r="B319" s="1"/>
      <c r="C319" s="1"/>
      <c r="D319" s="1"/>
      <c r="E319" s="1"/>
      <c r="F319" s="24">
        <f t="shared" si="7"/>
        <v>0</v>
      </c>
    </row>
    <row r="320" spans="2:6" x14ac:dyDescent="0.25">
      <c r="B320" s="1"/>
      <c r="C320" s="1"/>
      <c r="D320" s="1"/>
      <c r="E320" s="1"/>
      <c r="F320" s="24">
        <f t="shared" si="7"/>
        <v>0</v>
      </c>
    </row>
    <row r="321" spans="2:6" x14ac:dyDescent="0.25">
      <c r="B321" s="10" t="s">
        <v>20</v>
      </c>
      <c r="C321" s="1"/>
      <c r="D321" s="1"/>
      <c r="E321" s="4">
        <f>SUM(E309:E320)</f>
        <v>49</v>
      </c>
      <c r="F321" s="22">
        <f>SUM(F309:F320)</f>
        <v>8.5604472396925235</v>
      </c>
    </row>
    <row r="322" spans="2:6" x14ac:dyDescent="0.25">
      <c r="B322" s="4" t="s">
        <v>22</v>
      </c>
      <c r="C322" s="6"/>
      <c r="D322" s="6"/>
      <c r="E322" s="6"/>
      <c r="F322" s="23">
        <f>F307+F321</f>
        <v>25.050447239692524</v>
      </c>
    </row>
    <row r="323" spans="2:6" x14ac:dyDescent="0.25">
      <c r="B323" s="7"/>
      <c r="C323" s="7"/>
      <c r="D323" s="7"/>
      <c r="E323" s="7"/>
      <c r="F323" s="7"/>
    </row>
    <row r="324" spans="2:6" x14ac:dyDescent="0.25">
      <c r="B324" s="18"/>
      <c r="C324" s="18"/>
      <c r="D324" s="18"/>
      <c r="E324" s="18"/>
      <c r="F324" s="18"/>
    </row>
    <row r="325" spans="2:6" x14ac:dyDescent="0.25">
      <c r="B325" s="18"/>
      <c r="C325" s="18"/>
      <c r="D325" s="18"/>
      <c r="E325" s="18"/>
      <c r="F325" s="18"/>
    </row>
    <row r="326" spans="2:6" x14ac:dyDescent="0.25">
      <c r="B326" s="39" t="s">
        <v>23</v>
      </c>
      <c r="C326" s="38"/>
      <c r="D326" s="38"/>
      <c r="E326" s="39" t="s">
        <v>24</v>
      </c>
      <c r="F326" s="38"/>
    </row>
    <row r="328" spans="2:6" ht="31.9" customHeight="1" x14ac:dyDescent="0.25">
      <c r="B328" s="37" t="s">
        <v>223</v>
      </c>
      <c r="C328" s="37"/>
      <c r="D328" s="37"/>
      <c r="E328" s="37"/>
      <c r="F328" s="37"/>
    </row>
    <row r="329" spans="2:6" ht="33.6" customHeight="1" x14ac:dyDescent="0.25">
      <c r="B329" s="37" t="s">
        <v>1</v>
      </c>
      <c r="C329" s="37"/>
      <c r="D329" s="37"/>
      <c r="E329" s="37"/>
      <c r="F329" s="37"/>
    </row>
    <row r="330" spans="2:6" x14ac:dyDescent="0.25">
      <c r="B330" s="16" t="s">
        <v>0</v>
      </c>
      <c r="C330" s="16"/>
      <c r="D330" s="16"/>
      <c r="E330" s="16"/>
      <c r="F330" s="16"/>
    </row>
    <row r="331" spans="2:6" x14ac:dyDescent="0.25">
      <c r="B331" s="17"/>
      <c r="C331" s="38" t="s">
        <v>25</v>
      </c>
      <c r="D331" s="38"/>
      <c r="E331" s="17">
        <v>464.4</v>
      </c>
      <c r="F331" s="17" t="s">
        <v>26</v>
      </c>
    </row>
    <row r="333" spans="2:6" ht="45" x14ac:dyDescent="0.25">
      <c r="B333" s="1" t="s">
        <v>2</v>
      </c>
      <c r="C333" s="1" t="s">
        <v>4</v>
      </c>
      <c r="D333" s="1" t="s">
        <v>3</v>
      </c>
      <c r="E333" s="1" t="s">
        <v>447</v>
      </c>
      <c r="F333" s="1" t="s">
        <v>5</v>
      </c>
    </row>
    <row r="334" spans="2:6" x14ac:dyDescent="0.25">
      <c r="B334" s="1"/>
      <c r="C334" s="1"/>
      <c r="D334" s="1"/>
      <c r="E334" s="1"/>
      <c r="F334" s="1"/>
    </row>
    <row r="335" spans="2:6" x14ac:dyDescent="0.25">
      <c r="B335" s="3" t="s">
        <v>6</v>
      </c>
      <c r="C335" s="1"/>
      <c r="D335" s="1"/>
      <c r="E335" s="1"/>
      <c r="F335" s="1"/>
    </row>
    <row r="336" spans="2:6" x14ac:dyDescent="0.25">
      <c r="B336" s="5" t="s">
        <v>7</v>
      </c>
      <c r="C336" s="1"/>
      <c r="D336" s="1"/>
      <c r="E336" s="1"/>
      <c r="F336" s="5">
        <v>2.0099999999999998</v>
      </c>
    </row>
    <row r="337" spans="2:6" x14ac:dyDescent="0.25">
      <c r="B337" s="5" t="s">
        <v>8</v>
      </c>
      <c r="C337" s="1"/>
      <c r="D337" s="1"/>
      <c r="E337" s="1"/>
      <c r="F337" s="5">
        <v>5.34</v>
      </c>
    </row>
    <row r="338" spans="2:6" x14ac:dyDescent="0.25">
      <c r="B338" s="5" t="s">
        <v>11</v>
      </c>
      <c r="C338" s="1"/>
      <c r="D338" s="1"/>
      <c r="E338" s="1"/>
      <c r="F338" s="5">
        <v>0.55000000000000004</v>
      </c>
    </row>
    <row r="339" spans="2:6" x14ac:dyDescent="0.25">
      <c r="B339" s="5" t="s">
        <v>12</v>
      </c>
      <c r="C339" s="1"/>
      <c r="D339" s="1"/>
      <c r="E339" s="1"/>
      <c r="F339" s="5">
        <v>0.53</v>
      </c>
    </row>
    <row r="340" spans="2:6" x14ac:dyDescent="0.25">
      <c r="B340" s="5" t="s">
        <v>13</v>
      </c>
      <c r="C340" s="1"/>
      <c r="D340" s="1"/>
      <c r="E340" s="1"/>
      <c r="F340" s="5">
        <v>0.19</v>
      </c>
    </row>
    <row r="341" spans="2:6" x14ac:dyDescent="0.25">
      <c r="B341" s="5" t="s">
        <v>14</v>
      </c>
      <c r="C341" s="1"/>
      <c r="D341" s="1"/>
      <c r="E341" s="1"/>
      <c r="F341" s="5">
        <v>1.25</v>
      </c>
    </row>
    <row r="342" spans="2:6" ht="24.75" x14ac:dyDescent="0.25">
      <c r="B342" s="5" t="s">
        <v>9</v>
      </c>
      <c r="C342" s="1"/>
      <c r="D342" s="1"/>
      <c r="E342" s="1"/>
      <c r="F342" s="5">
        <v>0.26</v>
      </c>
    </row>
    <row r="343" spans="2:6" x14ac:dyDescent="0.25">
      <c r="B343" s="5" t="s">
        <v>15</v>
      </c>
      <c r="C343" s="1"/>
      <c r="D343" s="1"/>
      <c r="E343" s="1"/>
      <c r="F343" s="5">
        <v>0.27</v>
      </c>
    </row>
    <row r="344" spans="2:6" ht="24.75" x14ac:dyDescent="0.25">
      <c r="B344" s="5" t="s">
        <v>16</v>
      </c>
      <c r="C344" s="1"/>
      <c r="D344" s="1"/>
      <c r="E344" s="1"/>
      <c r="F344" s="5">
        <v>0.28999999999999998</v>
      </c>
    </row>
    <row r="345" spans="2:6" x14ac:dyDescent="0.25">
      <c r="B345" s="5" t="s">
        <v>17</v>
      </c>
      <c r="C345" s="1"/>
      <c r="D345" s="1"/>
      <c r="E345" s="1"/>
      <c r="F345" s="5">
        <v>0.32</v>
      </c>
    </row>
    <row r="346" spans="2:6" x14ac:dyDescent="0.25">
      <c r="B346" s="5" t="s">
        <v>18</v>
      </c>
      <c r="C346" s="1"/>
      <c r="D346" s="1"/>
      <c r="E346" s="1"/>
      <c r="F346" s="5">
        <v>1.97</v>
      </c>
    </row>
    <row r="347" spans="2:6" x14ac:dyDescent="0.25">
      <c r="B347" s="5" t="s">
        <v>19</v>
      </c>
      <c r="C347" s="1"/>
      <c r="D347" s="1"/>
      <c r="E347" s="1"/>
      <c r="F347" s="5">
        <v>3.51</v>
      </c>
    </row>
    <row r="348" spans="2:6" x14ac:dyDescent="0.25">
      <c r="B348" s="10" t="s">
        <v>20</v>
      </c>
      <c r="C348" s="1"/>
      <c r="D348" s="1"/>
      <c r="E348" s="1"/>
      <c r="F348" s="4">
        <f>SUM(F336:F347)</f>
        <v>16.489999999999998</v>
      </c>
    </row>
    <row r="349" spans="2:6" x14ac:dyDescent="0.25">
      <c r="B349" s="3" t="s">
        <v>21</v>
      </c>
      <c r="C349" s="1"/>
      <c r="D349" s="1"/>
      <c r="E349" s="1"/>
      <c r="F349" s="1"/>
    </row>
    <row r="350" spans="2:6" x14ac:dyDescent="0.25">
      <c r="B350" s="15" t="s">
        <v>252</v>
      </c>
      <c r="C350" s="1" t="s">
        <v>256</v>
      </c>
      <c r="D350" s="1">
        <v>1</v>
      </c>
      <c r="E350" s="1">
        <v>40</v>
      </c>
      <c r="F350" s="24">
        <f>E350/464.4*1000/12</f>
        <v>7.1777203560149303</v>
      </c>
    </row>
    <row r="351" spans="2:6" x14ac:dyDescent="0.25">
      <c r="B351" s="15" t="s">
        <v>269</v>
      </c>
      <c r="C351" s="1" t="s">
        <v>261</v>
      </c>
      <c r="D351" s="1">
        <v>4</v>
      </c>
      <c r="E351" s="1">
        <v>20</v>
      </c>
      <c r="F351" s="24">
        <f t="shared" ref="F351:F361" si="8">E351/464.4*1000/12</f>
        <v>3.5888601780074652</v>
      </c>
    </row>
    <row r="352" spans="2:6" x14ac:dyDescent="0.25">
      <c r="B352" s="15" t="s">
        <v>253</v>
      </c>
      <c r="C352" s="1" t="s">
        <v>26</v>
      </c>
      <c r="D352" s="1">
        <v>68</v>
      </c>
      <c r="E352" s="1">
        <v>50</v>
      </c>
      <c r="F352" s="24">
        <f t="shared" si="8"/>
        <v>8.9721504450186629</v>
      </c>
    </row>
    <row r="353" spans="2:6" x14ac:dyDescent="0.25">
      <c r="B353" s="15" t="s">
        <v>276</v>
      </c>
      <c r="C353" s="1" t="s">
        <v>26</v>
      </c>
      <c r="D353" s="1">
        <v>360</v>
      </c>
      <c r="E353" s="1">
        <v>300</v>
      </c>
      <c r="F353" s="24">
        <f t="shared" si="8"/>
        <v>53.83290267011197</v>
      </c>
    </row>
    <row r="354" spans="2:6" x14ac:dyDescent="0.25">
      <c r="B354" s="1"/>
      <c r="C354" s="1"/>
      <c r="D354" s="1"/>
      <c r="E354" s="1"/>
      <c r="F354" s="24">
        <f t="shared" si="8"/>
        <v>0</v>
      </c>
    </row>
    <row r="355" spans="2:6" x14ac:dyDescent="0.25">
      <c r="B355" s="1"/>
      <c r="C355" s="1"/>
      <c r="D355" s="1"/>
      <c r="E355" s="1"/>
      <c r="F355" s="24">
        <f t="shared" si="8"/>
        <v>0</v>
      </c>
    </row>
    <row r="356" spans="2:6" x14ac:dyDescent="0.25">
      <c r="B356" s="1"/>
      <c r="C356" s="1"/>
      <c r="D356" s="1"/>
      <c r="E356" s="1"/>
      <c r="F356" s="24">
        <f t="shared" si="8"/>
        <v>0</v>
      </c>
    </row>
    <row r="357" spans="2:6" x14ac:dyDescent="0.25">
      <c r="B357" s="1"/>
      <c r="C357" s="1"/>
      <c r="D357" s="1"/>
      <c r="E357" s="1"/>
      <c r="F357" s="24">
        <f t="shared" si="8"/>
        <v>0</v>
      </c>
    </row>
    <row r="358" spans="2:6" x14ac:dyDescent="0.25">
      <c r="B358" s="1"/>
      <c r="C358" s="1"/>
      <c r="D358" s="1"/>
      <c r="E358" s="1"/>
      <c r="F358" s="24">
        <f t="shared" si="8"/>
        <v>0</v>
      </c>
    </row>
    <row r="359" spans="2:6" x14ac:dyDescent="0.25">
      <c r="B359" s="1"/>
      <c r="C359" s="1"/>
      <c r="D359" s="1"/>
      <c r="E359" s="1"/>
      <c r="F359" s="24">
        <f t="shared" si="8"/>
        <v>0</v>
      </c>
    </row>
    <row r="360" spans="2:6" x14ac:dyDescent="0.25">
      <c r="B360" s="1"/>
      <c r="C360" s="1"/>
      <c r="D360" s="1"/>
      <c r="E360" s="1"/>
      <c r="F360" s="24">
        <f t="shared" si="8"/>
        <v>0</v>
      </c>
    </row>
    <row r="361" spans="2:6" x14ac:dyDescent="0.25">
      <c r="B361" s="1"/>
      <c r="C361" s="1"/>
      <c r="D361" s="1"/>
      <c r="E361" s="1"/>
      <c r="F361" s="24">
        <f t="shared" si="8"/>
        <v>0</v>
      </c>
    </row>
    <row r="362" spans="2:6" x14ac:dyDescent="0.25">
      <c r="B362" s="10" t="s">
        <v>20</v>
      </c>
      <c r="C362" s="1"/>
      <c r="D362" s="1"/>
      <c r="E362" s="4">
        <f>SUM(E350:E361)</f>
        <v>410</v>
      </c>
      <c r="F362" s="22">
        <f>SUM(F350:F361)</f>
        <v>73.571633649153029</v>
      </c>
    </row>
    <row r="363" spans="2:6" x14ac:dyDescent="0.25">
      <c r="B363" s="4" t="s">
        <v>22</v>
      </c>
      <c r="C363" s="6"/>
      <c r="D363" s="6"/>
      <c r="E363" s="6"/>
      <c r="F363" s="23">
        <f>F348+F362</f>
        <v>90.061633649153023</v>
      </c>
    </row>
    <row r="364" spans="2:6" x14ac:dyDescent="0.25">
      <c r="B364" s="7"/>
      <c r="C364" s="7"/>
      <c r="D364" s="7"/>
      <c r="E364" s="7"/>
      <c r="F364" s="7"/>
    </row>
    <row r="365" spans="2:6" x14ac:dyDescent="0.25">
      <c r="B365" s="18"/>
      <c r="C365" s="18"/>
      <c r="D365" s="18"/>
      <c r="E365" s="18"/>
      <c r="F365" s="18"/>
    </row>
    <row r="366" spans="2:6" x14ac:dyDescent="0.25">
      <c r="B366" s="18"/>
      <c r="C366" s="18"/>
      <c r="D366" s="18"/>
      <c r="E366" s="18"/>
      <c r="F366" s="18"/>
    </row>
    <row r="367" spans="2:6" x14ac:dyDescent="0.25">
      <c r="B367" s="39" t="s">
        <v>23</v>
      </c>
      <c r="C367" s="38"/>
      <c r="D367" s="38"/>
      <c r="E367" s="39" t="s">
        <v>24</v>
      </c>
      <c r="F367" s="38"/>
    </row>
    <row r="369" spans="2:6" ht="29.45" customHeight="1" x14ac:dyDescent="0.25">
      <c r="B369" s="37" t="s">
        <v>224</v>
      </c>
      <c r="C369" s="37"/>
      <c r="D369" s="37"/>
      <c r="E369" s="37"/>
      <c r="F369" s="37"/>
    </row>
    <row r="370" spans="2:6" ht="31.9" customHeight="1" x14ac:dyDescent="0.25">
      <c r="B370" s="37" t="s">
        <v>1</v>
      </c>
      <c r="C370" s="37"/>
      <c r="D370" s="37"/>
      <c r="E370" s="37"/>
      <c r="F370" s="37"/>
    </row>
    <row r="371" spans="2:6" x14ac:dyDescent="0.25">
      <c r="B371" s="16" t="s">
        <v>0</v>
      </c>
      <c r="C371" s="16"/>
      <c r="D371" s="16"/>
      <c r="E371" s="16"/>
      <c r="F371" s="16"/>
    </row>
    <row r="372" spans="2:6" x14ac:dyDescent="0.25">
      <c r="B372" s="17"/>
      <c r="C372" s="38" t="s">
        <v>25</v>
      </c>
      <c r="D372" s="38"/>
      <c r="E372" s="17">
        <v>807</v>
      </c>
      <c r="F372" s="17" t="s">
        <v>26</v>
      </c>
    </row>
    <row r="374" spans="2:6" ht="45" x14ac:dyDescent="0.25">
      <c r="B374" s="1" t="s">
        <v>2</v>
      </c>
      <c r="C374" s="1" t="s">
        <v>4</v>
      </c>
      <c r="D374" s="1" t="s">
        <v>3</v>
      </c>
      <c r="E374" s="1" t="s">
        <v>447</v>
      </c>
      <c r="F374" s="1" t="s">
        <v>5</v>
      </c>
    </row>
    <row r="375" spans="2:6" x14ac:dyDescent="0.25">
      <c r="B375" s="1"/>
      <c r="C375" s="1"/>
      <c r="D375" s="1"/>
      <c r="E375" s="1"/>
      <c r="F375" s="1"/>
    </row>
    <row r="376" spans="2:6" x14ac:dyDescent="0.25">
      <c r="B376" s="3" t="s">
        <v>6</v>
      </c>
      <c r="C376" s="1"/>
      <c r="D376" s="1"/>
      <c r="E376" s="1"/>
      <c r="F376" s="1"/>
    </row>
    <row r="377" spans="2:6" x14ac:dyDescent="0.25">
      <c r="B377" s="5" t="s">
        <v>7</v>
      </c>
      <c r="C377" s="1"/>
      <c r="D377" s="1"/>
      <c r="E377" s="1"/>
      <c r="F377" s="5">
        <v>2.0099999999999998</v>
      </c>
    </row>
    <row r="378" spans="2:6" x14ac:dyDescent="0.25">
      <c r="B378" s="5" t="s">
        <v>8</v>
      </c>
      <c r="C378" s="1"/>
      <c r="D378" s="1"/>
      <c r="E378" s="1"/>
      <c r="F378" s="5">
        <v>5.34</v>
      </c>
    </row>
    <row r="379" spans="2:6" x14ac:dyDescent="0.25">
      <c r="B379" s="5" t="s">
        <v>11</v>
      </c>
      <c r="C379" s="1"/>
      <c r="D379" s="1"/>
      <c r="E379" s="1"/>
      <c r="F379" s="5">
        <v>0.55000000000000004</v>
      </c>
    </row>
    <row r="380" spans="2:6" x14ac:dyDescent="0.25">
      <c r="B380" s="5" t="s">
        <v>12</v>
      </c>
      <c r="C380" s="1"/>
      <c r="D380" s="1"/>
      <c r="E380" s="1"/>
      <c r="F380" s="5">
        <v>0.53</v>
      </c>
    </row>
    <row r="381" spans="2:6" x14ac:dyDescent="0.25">
      <c r="B381" s="5" t="s">
        <v>13</v>
      </c>
      <c r="C381" s="1"/>
      <c r="D381" s="1"/>
      <c r="E381" s="1"/>
      <c r="F381" s="5">
        <v>0.19</v>
      </c>
    </row>
    <row r="382" spans="2:6" x14ac:dyDescent="0.25">
      <c r="B382" s="5" t="s">
        <v>14</v>
      </c>
      <c r="C382" s="1"/>
      <c r="D382" s="1"/>
      <c r="E382" s="1"/>
      <c r="F382" s="5">
        <v>1.25</v>
      </c>
    </row>
    <row r="383" spans="2:6" ht="24.75" x14ac:dyDescent="0.25">
      <c r="B383" s="5" t="s">
        <v>9</v>
      </c>
      <c r="C383" s="1"/>
      <c r="D383" s="1"/>
      <c r="E383" s="1"/>
      <c r="F383" s="5">
        <v>0.26</v>
      </c>
    </row>
    <row r="384" spans="2:6" x14ac:dyDescent="0.25">
      <c r="B384" s="5" t="s">
        <v>15</v>
      </c>
      <c r="C384" s="1"/>
      <c r="D384" s="1"/>
      <c r="E384" s="1"/>
      <c r="F384" s="5">
        <v>0.27</v>
      </c>
    </row>
    <row r="385" spans="2:6" ht="24.75" x14ac:dyDescent="0.25">
      <c r="B385" s="5" t="s">
        <v>16</v>
      </c>
      <c r="C385" s="1"/>
      <c r="D385" s="1"/>
      <c r="E385" s="1"/>
      <c r="F385" s="5">
        <v>0.28999999999999998</v>
      </c>
    </row>
    <row r="386" spans="2:6" x14ac:dyDescent="0.25">
      <c r="B386" s="5" t="s">
        <v>17</v>
      </c>
      <c r="C386" s="1"/>
      <c r="D386" s="1"/>
      <c r="E386" s="1"/>
      <c r="F386" s="5">
        <v>0.32</v>
      </c>
    </row>
    <row r="387" spans="2:6" x14ac:dyDescent="0.25">
      <c r="B387" s="5" t="s">
        <v>18</v>
      </c>
      <c r="C387" s="1"/>
      <c r="D387" s="1"/>
      <c r="E387" s="1"/>
      <c r="F387" s="5">
        <v>1.97</v>
      </c>
    </row>
    <row r="388" spans="2:6" x14ac:dyDescent="0.25">
      <c r="B388" s="5" t="s">
        <v>19</v>
      </c>
      <c r="C388" s="1"/>
      <c r="D388" s="1"/>
      <c r="E388" s="1"/>
      <c r="F388" s="5">
        <v>3.51</v>
      </c>
    </row>
    <row r="389" spans="2:6" x14ac:dyDescent="0.25">
      <c r="B389" s="10" t="s">
        <v>20</v>
      </c>
      <c r="C389" s="1"/>
      <c r="D389" s="1"/>
      <c r="E389" s="1"/>
      <c r="F389" s="4">
        <f>SUM(F377:F388)</f>
        <v>16.489999999999998</v>
      </c>
    </row>
    <row r="390" spans="2:6" x14ac:dyDescent="0.25">
      <c r="B390" s="3" t="s">
        <v>21</v>
      </c>
      <c r="C390" s="1"/>
      <c r="D390" s="1"/>
      <c r="E390" s="1"/>
      <c r="F390" s="1"/>
    </row>
    <row r="391" spans="2:6" x14ac:dyDescent="0.25">
      <c r="B391" s="26" t="s">
        <v>309</v>
      </c>
      <c r="C391" s="1" t="s">
        <v>26</v>
      </c>
      <c r="D391" s="1">
        <v>45</v>
      </c>
      <c r="E391" s="1">
        <v>49.5</v>
      </c>
      <c r="F391" s="24">
        <f>E391/807*1000/12</f>
        <v>5.1115241635687729</v>
      </c>
    </row>
    <row r="392" spans="2:6" x14ac:dyDescent="0.25">
      <c r="B392" s="26" t="s">
        <v>312</v>
      </c>
      <c r="C392" s="1" t="s">
        <v>261</v>
      </c>
      <c r="D392" s="1">
        <v>12</v>
      </c>
      <c r="E392" s="1">
        <v>6</v>
      </c>
      <c r="F392" s="24">
        <f t="shared" ref="F392:F402" si="9">E392/807*1000/12</f>
        <v>0.61957868649318459</v>
      </c>
    </row>
    <row r="393" spans="2:6" x14ac:dyDescent="0.25">
      <c r="B393" s="26"/>
      <c r="C393" s="1"/>
      <c r="D393" s="1"/>
      <c r="E393" s="1"/>
      <c r="F393" s="24">
        <f t="shared" si="9"/>
        <v>0</v>
      </c>
    </row>
    <row r="394" spans="2:6" x14ac:dyDescent="0.25">
      <c r="B394" s="26"/>
      <c r="C394" s="1"/>
      <c r="D394" s="1"/>
      <c r="E394" s="1"/>
      <c r="F394" s="24">
        <f t="shared" si="9"/>
        <v>0</v>
      </c>
    </row>
    <row r="395" spans="2:6" x14ac:dyDescent="0.25">
      <c r="B395" s="26"/>
      <c r="C395" s="1"/>
      <c r="D395" s="1"/>
      <c r="E395" s="1"/>
      <c r="F395" s="24">
        <f t="shared" si="9"/>
        <v>0</v>
      </c>
    </row>
    <row r="396" spans="2:6" x14ac:dyDescent="0.25">
      <c r="B396" s="26"/>
      <c r="C396" s="1"/>
      <c r="D396" s="1"/>
      <c r="E396" s="1"/>
      <c r="F396" s="24">
        <f t="shared" si="9"/>
        <v>0</v>
      </c>
    </row>
    <row r="397" spans="2:6" x14ac:dyDescent="0.25">
      <c r="B397" s="26"/>
      <c r="C397" s="1"/>
      <c r="D397" s="1"/>
      <c r="E397" s="1"/>
      <c r="F397" s="24">
        <f t="shared" si="9"/>
        <v>0</v>
      </c>
    </row>
    <row r="398" spans="2:6" x14ac:dyDescent="0.25">
      <c r="B398" s="26"/>
      <c r="C398" s="1"/>
      <c r="D398" s="1"/>
      <c r="E398" s="1"/>
      <c r="F398" s="24">
        <f t="shared" si="9"/>
        <v>0</v>
      </c>
    </row>
    <row r="399" spans="2:6" x14ac:dyDescent="0.25">
      <c r="B399" s="26"/>
      <c r="C399" s="1"/>
      <c r="D399" s="1"/>
      <c r="E399" s="1"/>
      <c r="F399" s="24">
        <f t="shared" si="9"/>
        <v>0</v>
      </c>
    </row>
    <row r="400" spans="2:6" x14ac:dyDescent="0.25">
      <c r="B400" s="26"/>
      <c r="C400" s="1"/>
      <c r="D400" s="1"/>
      <c r="E400" s="1"/>
      <c r="F400" s="24">
        <f t="shared" si="9"/>
        <v>0</v>
      </c>
    </row>
    <row r="401" spans="2:6" x14ac:dyDescent="0.25">
      <c r="B401" s="1"/>
      <c r="C401" s="1"/>
      <c r="D401" s="1"/>
      <c r="E401" s="1"/>
      <c r="F401" s="24">
        <f t="shared" si="9"/>
        <v>0</v>
      </c>
    </row>
    <row r="402" spans="2:6" x14ac:dyDescent="0.25">
      <c r="B402" s="1"/>
      <c r="C402" s="1"/>
      <c r="D402" s="1"/>
      <c r="E402" s="1"/>
      <c r="F402" s="24">
        <f t="shared" si="9"/>
        <v>0</v>
      </c>
    </row>
    <row r="403" spans="2:6" x14ac:dyDescent="0.25">
      <c r="B403" s="10" t="s">
        <v>20</v>
      </c>
      <c r="C403" s="1"/>
      <c r="D403" s="1"/>
      <c r="E403" s="4">
        <f>SUM(E391:E402)</f>
        <v>55.5</v>
      </c>
      <c r="F403" s="22">
        <f>SUM(F391:F402)</f>
        <v>5.7311028500619576</v>
      </c>
    </row>
    <row r="404" spans="2:6" x14ac:dyDescent="0.25">
      <c r="B404" s="4" t="s">
        <v>22</v>
      </c>
      <c r="C404" s="6"/>
      <c r="D404" s="6"/>
      <c r="E404" s="6"/>
      <c r="F404" s="23">
        <f>F389+F403</f>
        <v>22.221102850061957</v>
      </c>
    </row>
    <row r="405" spans="2:6" x14ac:dyDescent="0.25">
      <c r="B405" s="7"/>
      <c r="C405" s="7"/>
      <c r="D405" s="7"/>
      <c r="E405" s="7"/>
      <c r="F405" s="7"/>
    </row>
    <row r="406" spans="2:6" x14ac:dyDescent="0.25">
      <c r="B406" s="18"/>
      <c r="C406" s="18"/>
      <c r="D406" s="18"/>
      <c r="E406" s="18"/>
      <c r="F406" s="18"/>
    </row>
    <row r="407" spans="2:6" x14ac:dyDescent="0.25">
      <c r="B407" s="18"/>
      <c r="C407" s="18"/>
      <c r="D407" s="18"/>
      <c r="E407" s="18"/>
      <c r="F407" s="18"/>
    </row>
    <row r="408" spans="2:6" x14ac:dyDescent="0.25">
      <c r="B408" s="39" t="s">
        <v>23</v>
      </c>
      <c r="C408" s="38"/>
      <c r="D408" s="38"/>
      <c r="E408" s="39" t="s">
        <v>24</v>
      </c>
      <c r="F408" s="38"/>
    </row>
    <row r="410" spans="2:6" ht="30" customHeight="1" x14ac:dyDescent="0.25">
      <c r="B410" s="37" t="s">
        <v>225</v>
      </c>
      <c r="C410" s="37"/>
      <c r="D410" s="37"/>
      <c r="E410" s="37"/>
      <c r="F410" s="37"/>
    </row>
    <row r="411" spans="2:6" ht="33.6" customHeight="1" x14ac:dyDescent="0.25">
      <c r="B411" s="37" t="s">
        <v>1</v>
      </c>
      <c r="C411" s="37"/>
      <c r="D411" s="37"/>
      <c r="E411" s="37"/>
      <c r="F411" s="37"/>
    </row>
    <row r="412" spans="2:6" x14ac:dyDescent="0.25">
      <c r="B412" s="16" t="s">
        <v>0</v>
      </c>
      <c r="C412" s="16"/>
      <c r="D412" s="16"/>
      <c r="E412" s="16"/>
      <c r="F412" s="16"/>
    </row>
    <row r="413" spans="2:6" x14ac:dyDescent="0.25">
      <c r="B413" s="17"/>
      <c r="C413" s="38" t="s">
        <v>25</v>
      </c>
      <c r="D413" s="38"/>
      <c r="E413" s="17">
        <v>786.7</v>
      </c>
      <c r="F413" s="17" t="s">
        <v>26</v>
      </c>
    </row>
    <row r="415" spans="2:6" ht="45" x14ac:dyDescent="0.25">
      <c r="B415" s="1" t="s">
        <v>2</v>
      </c>
      <c r="C415" s="1" t="s">
        <v>4</v>
      </c>
      <c r="D415" s="1" t="s">
        <v>3</v>
      </c>
      <c r="E415" s="1" t="s">
        <v>447</v>
      </c>
      <c r="F415" s="1" t="s">
        <v>5</v>
      </c>
    </row>
    <row r="416" spans="2:6" x14ac:dyDescent="0.25">
      <c r="B416" s="1"/>
      <c r="C416" s="1"/>
      <c r="D416" s="1"/>
      <c r="E416" s="1"/>
      <c r="F416" s="1"/>
    </row>
    <row r="417" spans="2:6" x14ac:dyDescent="0.25">
      <c r="B417" s="3" t="s">
        <v>6</v>
      </c>
      <c r="C417" s="1"/>
      <c r="D417" s="1"/>
      <c r="E417" s="1"/>
      <c r="F417" s="1"/>
    </row>
    <row r="418" spans="2:6" x14ac:dyDescent="0.25">
      <c r="B418" s="5" t="s">
        <v>7</v>
      </c>
      <c r="C418" s="1"/>
      <c r="D418" s="1"/>
      <c r="E418" s="1"/>
      <c r="F418" s="5">
        <v>2.0099999999999998</v>
      </c>
    </row>
    <row r="419" spans="2:6" x14ac:dyDescent="0.25">
      <c r="B419" s="5" t="s">
        <v>8</v>
      </c>
      <c r="C419" s="1"/>
      <c r="D419" s="1"/>
      <c r="E419" s="1"/>
      <c r="F419" s="5">
        <v>5.34</v>
      </c>
    </row>
    <row r="420" spans="2:6" x14ac:dyDescent="0.25">
      <c r="B420" s="5" t="s">
        <v>11</v>
      </c>
      <c r="C420" s="1"/>
      <c r="D420" s="1"/>
      <c r="E420" s="1"/>
      <c r="F420" s="5">
        <v>0.55000000000000004</v>
      </c>
    </row>
    <row r="421" spans="2:6" x14ac:dyDescent="0.25">
      <c r="B421" s="5" t="s">
        <v>12</v>
      </c>
      <c r="C421" s="1"/>
      <c r="D421" s="1"/>
      <c r="E421" s="1"/>
      <c r="F421" s="5">
        <v>0.53</v>
      </c>
    </row>
    <row r="422" spans="2:6" x14ac:dyDescent="0.25">
      <c r="B422" s="5" t="s">
        <v>13</v>
      </c>
      <c r="C422" s="1"/>
      <c r="D422" s="1"/>
      <c r="E422" s="1"/>
      <c r="F422" s="5">
        <v>0.19</v>
      </c>
    </row>
    <row r="423" spans="2:6" x14ac:dyDescent="0.25">
      <c r="B423" s="5" t="s">
        <v>14</v>
      </c>
      <c r="C423" s="1"/>
      <c r="D423" s="1"/>
      <c r="E423" s="1"/>
      <c r="F423" s="5">
        <v>1.25</v>
      </c>
    </row>
    <row r="424" spans="2:6" ht="24.75" x14ac:dyDescent="0.25">
      <c r="B424" s="5" t="s">
        <v>9</v>
      </c>
      <c r="C424" s="1"/>
      <c r="D424" s="1"/>
      <c r="E424" s="1"/>
      <c r="F424" s="5">
        <v>0.26</v>
      </c>
    </row>
    <row r="425" spans="2:6" x14ac:dyDescent="0.25">
      <c r="B425" s="5" t="s">
        <v>15</v>
      </c>
      <c r="C425" s="1"/>
      <c r="D425" s="1"/>
      <c r="E425" s="1"/>
      <c r="F425" s="5">
        <v>0.27</v>
      </c>
    </row>
    <row r="426" spans="2:6" ht="24.75" x14ac:dyDescent="0.25">
      <c r="B426" s="5" t="s">
        <v>16</v>
      </c>
      <c r="C426" s="1"/>
      <c r="D426" s="1"/>
      <c r="E426" s="1"/>
      <c r="F426" s="5">
        <v>0.28999999999999998</v>
      </c>
    </row>
    <row r="427" spans="2:6" x14ac:dyDescent="0.25">
      <c r="B427" s="5" t="s">
        <v>17</v>
      </c>
      <c r="C427" s="1"/>
      <c r="D427" s="1"/>
      <c r="E427" s="1"/>
      <c r="F427" s="5">
        <v>0.32</v>
      </c>
    </row>
    <row r="428" spans="2:6" x14ac:dyDescent="0.25">
      <c r="B428" s="5" t="s">
        <v>18</v>
      </c>
      <c r="C428" s="1"/>
      <c r="D428" s="1"/>
      <c r="E428" s="1"/>
      <c r="F428" s="5">
        <v>1.97</v>
      </c>
    </row>
    <row r="429" spans="2:6" x14ac:dyDescent="0.25">
      <c r="B429" s="5" t="s">
        <v>19</v>
      </c>
      <c r="C429" s="1"/>
      <c r="D429" s="1"/>
      <c r="E429" s="1"/>
      <c r="F429" s="5">
        <v>3.51</v>
      </c>
    </row>
    <row r="430" spans="2:6" x14ac:dyDescent="0.25">
      <c r="B430" s="10" t="s">
        <v>20</v>
      </c>
      <c r="C430" s="1"/>
      <c r="D430" s="1"/>
      <c r="E430" s="1"/>
      <c r="F430" s="4">
        <f>SUM(F418:F429)</f>
        <v>16.489999999999998</v>
      </c>
    </row>
    <row r="431" spans="2:6" x14ac:dyDescent="0.25">
      <c r="B431" s="3" t="s">
        <v>21</v>
      </c>
      <c r="C431" s="1"/>
      <c r="D431" s="1"/>
      <c r="E431" s="1"/>
      <c r="F431" s="1"/>
    </row>
    <row r="432" spans="2:6" x14ac:dyDescent="0.25">
      <c r="B432" s="15" t="s">
        <v>252</v>
      </c>
      <c r="C432" s="1" t="s">
        <v>256</v>
      </c>
      <c r="D432" s="1">
        <v>2</v>
      </c>
      <c r="E432" s="1">
        <v>80</v>
      </c>
      <c r="F432" s="24">
        <f>E432/786.7*1000/12</f>
        <v>8.4742171941866875</v>
      </c>
    </row>
    <row r="433" spans="2:6" x14ac:dyDescent="0.25">
      <c r="B433" s="15" t="s">
        <v>253</v>
      </c>
      <c r="C433" s="1" t="s">
        <v>26</v>
      </c>
      <c r="D433" s="1">
        <v>86</v>
      </c>
      <c r="E433" s="1">
        <v>60</v>
      </c>
      <c r="F433" s="24">
        <f t="shared" ref="F433:F443" si="10">E433/786.7*1000/12</f>
        <v>6.3556628956400152</v>
      </c>
    </row>
    <row r="434" spans="2:6" x14ac:dyDescent="0.25">
      <c r="B434" s="15" t="s">
        <v>276</v>
      </c>
      <c r="C434" s="1" t="s">
        <v>26</v>
      </c>
      <c r="D434" s="1">
        <v>400</v>
      </c>
      <c r="E434" s="1">
        <v>320</v>
      </c>
      <c r="F434" s="24">
        <f t="shared" si="10"/>
        <v>33.89686877674675</v>
      </c>
    </row>
    <row r="435" spans="2:6" x14ac:dyDescent="0.25">
      <c r="B435" s="15" t="s">
        <v>271</v>
      </c>
      <c r="C435" s="1" t="s">
        <v>261</v>
      </c>
      <c r="D435" s="1">
        <v>8</v>
      </c>
      <c r="E435" s="1">
        <v>15.2</v>
      </c>
      <c r="F435" s="24">
        <f t="shared" si="10"/>
        <v>1.6101012668954704</v>
      </c>
    </row>
    <row r="436" spans="2:6" x14ac:dyDescent="0.25">
      <c r="B436" s="1"/>
      <c r="C436" s="1"/>
      <c r="D436" s="1"/>
      <c r="E436" s="1"/>
      <c r="F436" s="24">
        <f t="shared" si="10"/>
        <v>0</v>
      </c>
    </row>
    <row r="437" spans="2:6" x14ac:dyDescent="0.25">
      <c r="B437" s="1"/>
      <c r="C437" s="1"/>
      <c r="D437" s="1"/>
      <c r="E437" s="1"/>
      <c r="F437" s="24">
        <f t="shared" si="10"/>
        <v>0</v>
      </c>
    </row>
    <row r="438" spans="2:6" x14ac:dyDescent="0.25">
      <c r="B438" s="1"/>
      <c r="C438" s="1"/>
      <c r="D438" s="1"/>
      <c r="E438" s="1"/>
      <c r="F438" s="24">
        <f t="shared" si="10"/>
        <v>0</v>
      </c>
    </row>
    <row r="439" spans="2:6" x14ac:dyDescent="0.25">
      <c r="B439" s="1"/>
      <c r="C439" s="1"/>
      <c r="D439" s="1"/>
      <c r="E439" s="1"/>
      <c r="F439" s="24">
        <f t="shared" si="10"/>
        <v>0</v>
      </c>
    </row>
    <row r="440" spans="2:6" x14ac:dyDescent="0.25">
      <c r="B440" s="1"/>
      <c r="C440" s="1"/>
      <c r="D440" s="1"/>
      <c r="E440" s="1"/>
      <c r="F440" s="24">
        <f t="shared" si="10"/>
        <v>0</v>
      </c>
    </row>
    <row r="441" spans="2:6" x14ac:dyDescent="0.25">
      <c r="B441" s="1"/>
      <c r="C441" s="1"/>
      <c r="D441" s="1"/>
      <c r="E441" s="1"/>
      <c r="F441" s="24">
        <f t="shared" si="10"/>
        <v>0</v>
      </c>
    </row>
    <row r="442" spans="2:6" x14ac:dyDescent="0.25">
      <c r="B442" s="1"/>
      <c r="C442" s="1"/>
      <c r="D442" s="1"/>
      <c r="E442" s="1"/>
      <c r="F442" s="24">
        <f t="shared" si="10"/>
        <v>0</v>
      </c>
    </row>
    <row r="443" spans="2:6" x14ac:dyDescent="0.25">
      <c r="B443" s="1"/>
      <c r="C443" s="1"/>
      <c r="D443" s="1"/>
      <c r="E443" s="1"/>
      <c r="F443" s="24">
        <f t="shared" si="10"/>
        <v>0</v>
      </c>
    </row>
    <row r="444" spans="2:6" x14ac:dyDescent="0.25">
      <c r="B444" s="10" t="s">
        <v>20</v>
      </c>
      <c r="C444" s="1"/>
      <c r="D444" s="1"/>
      <c r="E444" s="4">
        <f>SUM(E432:E443)</f>
        <v>475.2</v>
      </c>
      <c r="F444" s="22">
        <f>SUM(F432:F443)</f>
        <v>50.336850133468921</v>
      </c>
    </row>
    <row r="445" spans="2:6" x14ac:dyDescent="0.25">
      <c r="B445" s="4" t="s">
        <v>22</v>
      </c>
      <c r="C445" s="6"/>
      <c r="D445" s="6"/>
      <c r="E445" s="6"/>
      <c r="F445" s="23">
        <f>F430+F444</f>
        <v>66.826850133468923</v>
      </c>
    </row>
    <row r="446" spans="2:6" x14ac:dyDescent="0.25">
      <c r="B446" s="7"/>
      <c r="C446" s="7"/>
      <c r="D446" s="7"/>
      <c r="E446" s="7"/>
      <c r="F446" s="7"/>
    </row>
    <row r="447" spans="2:6" x14ac:dyDescent="0.25">
      <c r="B447" s="18"/>
      <c r="C447" s="18"/>
      <c r="D447" s="18"/>
      <c r="E447" s="18"/>
      <c r="F447" s="18"/>
    </row>
    <row r="448" spans="2:6" x14ac:dyDescent="0.25">
      <c r="B448" s="18"/>
      <c r="C448" s="18"/>
      <c r="D448" s="18"/>
      <c r="E448" s="18"/>
      <c r="F448" s="18"/>
    </row>
    <row r="449" spans="2:6" x14ac:dyDescent="0.25">
      <c r="B449" s="39" t="s">
        <v>23</v>
      </c>
      <c r="C449" s="38"/>
      <c r="D449" s="38"/>
      <c r="E449" s="39" t="s">
        <v>24</v>
      </c>
      <c r="F449" s="38"/>
    </row>
    <row r="451" spans="2:6" ht="28.9" customHeight="1" x14ac:dyDescent="0.25">
      <c r="B451" s="37" t="s">
        <v>226</v>
      </c>
      <c r="C451" s="37"/>
      <c r="D451" s="37"/>
      <c r="E451" s="37"/>
      <c r="F451" s="37"/>
    </row>
    <row r="452" spans="2:6" ht="29.45" customHeight="1" x14ac:dyDescent="0.25">
      <c r="B452" s="37" t="s">
        <v>1</v>
      </c>
      <c r="C452" s="37"/>
      <c r="D452" s="37"/>
      <c r="E452" s="37"/>
      <c r="F452" s="37"/>
    </row>
    <row r="453" spans="2:6" x14ac:dyDescent="0.25">
      <c r="B453" s="16" t="s">
        <v>0</v>
      </c>
      <c r="C453" s="16"/>
      <c r="D453" s="16"/>
      <c r="E453" s="16"/>
      <c r="F453" s="16"/>
    </row>
    <row r="454" spans="2:6" x14ac:dyDescent="0.25">
      <c r="B454" s="17"/>
      <c r="C454" s="38" t="s">
        <v>25</v>
      </c>
      <c r="D454" s="38"/>
      <c r="E454" s="17">
        <v>677.2</v>
      </c>
      <c r="F454" s="17" t="s">
        <v>26</v>
      </c>
    </row>
    <row r="456" spans="2:6" ht="45" x14ac:dyDescent="0.25">
      <c r="B456" s="1" t="s">
        <v>2</v>
      </c>
      <c r="C456" s="1" t="s">
        <v>4</v>
      </c>
      <c r="D456" s="1" t="s">
        <v>3</v>
      </c>
      <c r="E456" s="1" t="s">
        <v>447</v>
      </c>
      <c r="F456" s="1" t="s">
        <v>5</v>
      </c>
    </row>
    <row r="457" spans="2:6" x14ac:dyDescent="0.25">
      <c r="B457" s="1"/>
      <c r="C457" s="1"/>
      <c r="D457" s="1"/>
      <c r="E457" s="1"/>
      <c r="F457" s="1"/>
    </row>
    <row r="458" spans="2:6" x14ac:dyDescent="0.25">
      <c r="B458" s="3" t="s">
        <v>6</v>
      </c>
      <c r="C458" s="1"/>
      <c r="D458" s="1"/>
      <c r="E458" s="1"/>
      <c r="F458" s="1"/>
    </row>
    <row r="459" spans="2:6" x14ac:dyDescent="0.25">
      <c r="B459" s="5" t="s">
        <v>7</v>
      </c>
      <c r="C459" s="1"/>
      <c r="D459" s="1"/>
      <c r="E459" s="1"/>
      <c r="F459" s="5">
        <v>2.0099999999999998</v>
      </c>
    </row>
    <row r="460" spans="2:6" x14ac:dyDescent="0.25">
      <c r="B460" s="5" t="s">
        <v>8</v>
      </c>
      <c r="C460" s="1"/>
      <c r="D460" s="1"/>
      <c r="E460" s="1"/>
      <c r="F460" s="5">
        <v>5.34</v>
      </c>
    </row>
    <row r="461" spans="2:6" x14ac:dyDescent="0.25">
      <c r="B461" s="5" t="s">
        <v>11</v>
      </c>
      <c r="C461" s="1"/>
      <c r="D461" s="1"/>
      <c r="E461" s="1"/>
      <c r="F461" s="5">
        <v>0.55000000000000004</v>
      </c>
    </row>
    <row r="462" spans="2:6" x14ac:dyDescent="0.25">
      <c r="B462" s="5" t="s">
        <v>12</v>
      </c>
      <c r="C462" s="1"/>
      <c r="D462" s="1"/>
      <c r="E462" s="1"/>
      <c r="F462" s="5">
        <v>0.53</v>
      </c>
    </row>
    <row r="463" spans="2:6" x14ac:dyDescent="0.25">
      <c r="B463" s="5" t="s">
        <v>13</v>
      </c>
      <c r="C463" s="1"/>
      <c r="D463" s="1"/>
      <c r="E463" s="1"/>
      <c r="F463" s="5">
        <v>0.19</v>
      </c>
    </row>
    <row r="464" spans="2:6" x14ac:dyDescent="0.25">
      <c r="B464" s="5" t="s">
        <v>14</v>
      </c>
      <c r="C464" s="1"/>
      <c r="D464" s="1"/>
      <c r="E464" s="1"/>
      <c r="F464" s="5">
        <v>1.25</v>
      </c>
    </row>
    <row r="465" spans="2:6" ht="24.75" x14ac:dyDescent="0.25">
      <c r="B465" s="5" t="s">
        <v>9</v>
      </c>
      <c r="C465" s="1"/>
      <c r="D465" s="1"/>
      <c r="E465" s="1"/>
      <c r="F465" s="5">
        <v>0.26</v>
      </c>
    </row>
    <row r="466" spans="2:6" x14ac:dyDescent="0.25">
      <c r="B466" s="5" t="s">
        <v>15</v>
      </c>
      <c r="C466" s="1"/>
      <c r="D466" s="1"/>
      <c r="E466" s="1"/>
      <c r="F466" s="5">
        <v>0.27</v>
      </c>
    </row>
    <row r="467" spans="2:6" ht="24.75" x14ac:dyDescent="0.25">
      <c r="B467" s="5" t="s">
        <v>16</v>
      </c>
      <c r="C467" s="1"/>
      <c r="D467" s="1"/>
      <c r="E467" s="1"/>
      <c r="F467" s="5">
        <v>0.28999999999999998</v>
      </c>
    </row>
    <row r="468" spans="2:6" x14ac:dyDescent="0.25">
      <c r="B468" s="5" t="s">
        <v>17</v>
      </c>
      <c r="C468" s="1"/>
      <c r="D468" s="1"/>
      <c r="E468" s="1"/>
      <c r="F468" s="5">
        <v>0.32</v>
      </c>
    </row>
    <row r="469" spans="2:6" x14ac:dyDescent="0.25">
      <c r="B469" s="5" t="s">
        <v>18</v>
      </c>
      <c r="C469" s="1"/>
      <c r="D469" s="1"/>
      <c r="E469" s="1"/>
      <c r="F469" s="5">
        <v>1.97</v>
      </c>
    </row>
    <row r="470" spans="2:6" x14ac:dyDescent="0.25">
      <c r="B470" s="5" t="s">
        <v>19</v>
      </c>
      <c r="C470" s="1"/>
      <c r="D470" s="1"/>
      <c r="E470" s="1"/>
      <c r="F470" s="5">
        <v>3.2</v>
      </c>
    </row>
    <row r="471" spans="2:6" x14ac:dyDescent="0.25">
      <c r="B471" s="10" t="s">
        <v>20</v>
      </c>
      <c r="C471" s="1"/>
      <c r="D471" s="1"/>
      <c r="E471" s="1"/>
      <c r="F471" s="4">
        <f>SUM(F459:F470)</f>
        <v>16.18</v>
      </c>
    </row>
    <row r="472" spans="2:6" x14ac:dyDescent="0.25">
      <c r="B472" s="3" t="s">
        <v>21</v>
      </c>
      <c r="C472" s="1"/>
      <c r="D472" s="1"/>
      <c r="E472" s="1"/>
      <c r="F472" s="1"/>
    </row>
    <row r="473" spans="2:6" x14ac:dyDescent="0.25">
      <c r="B473" s="15" t="s">
        <v>252</v>
      </c>
      <c r="C473" s="1" t="s">
        <v>256</v>
      </c>
      <c r="D473" s="1">
        <v>2</v>
      </c>
      <c r="E473" s="1">
        <v>100</v>
      </c>
      <c r="F473" s="24">
        <f>E473/677.2*1000/12</f>
        <v>12.305571962984837</v>
      </c>
    </row>
    <row r="474" spans="2:6" x14ac:dyDescent="0.25">
      <c r="B474" s="15" t="s">
        <v>278</v>
      </c>
      <c r="C474" s="1" t="s">
        <v>26</v>
      </c>
      <c r="D474" s="1">
        <v>26</v>
      </c>
      <c r="E474" s="1">
        <v>15</v>
      </c>
      <c r="F474" s="24">
        <f t="shared" ref="F474:F484" si="11">E474/677.2*1000/12</f>
        <v>1.8458357944477257</v>
      </c>
    </row>
    <row r="475" spans="2:6" x14ac:dyDescent="0.25">
      <c r="B475" s="15" t="s">
        <v>253</v>
      </c>
      <c r="C475" s="1" t="s">
        <v>26</v>
      </c>
      <c r="D475" s="1">
        <v>104</v>
      </c>
      <c r="E475" s="1">
        <v>75</v>
      </c>
      <c r="F475" s="24">
        <f t="shared" si="11"/>
        <v>9.2291789722386284</v>
      </c>
    </row>
    <row r="476" spans="2:6" x14ac:dyDescent="0.25">
      <c r="B476" s="15" t="s">
        <v>292</v>
      </c>
      <c r="C476" s="1" t="s">
        <v>26</v>
      </c>
      <c r="D476" s="1">
        <v>6</v>
      </c>
      <c r="E476" s="1">
        <v>5</v>
      </c>
      <c r="F476" s="24">
        <f t="shared" si="11"/>
        <v>0.61527859814924191</v>
      </c>
    </row>
    <row r="477" spans="2:6" x14ac:dyDescent="0.25">
      <c r="B477" s="15" t="s">
        <v>280</v>
      </c>
      <c r="C477" s="1" t="s">
        <v>26</v>
      </c>
      <c r="D477" s="1">
        <v>36</v>
      </c>
      <c r="E477" s="1">
        <v>20</v>
      </c>
      <c r="F477" s="24">
        <f t="shared" si="11"/>
        <v>2.4611143925969676</v>
      </c>
    </row>
    <row r="478" spans="2:6" x14ac:dyDescent="0.25">
      <c r="B478" s="15" t="s">
        <v>276</v>
      </c>
      <c r="C478" s="1" t="s">
        <v>26</v>
      </c>
      <c r="D478" s="1">
        <v>450</v>
      </c>
      <c r="E478" s="1">
        <v>360</v>
      </c>
      <c r="F478" s="24">
        <f t="shared" si="11"/>
        <v>44.300059066745412</v>
      </c>
    </row>
    <row r="479" spans="2:6" x14ac:dyDescent="0.25">
      <c r="B479" s="15" t="s">
        <v>258</v>
      </c>
      <c r="C479" s="1" t="s">
        <v>261</v>
      </c>
      <c r="D479" s="1">
        <v>16</v>
      </c>
      <c r="E479" s="1">
        <v>21</v>
      </c>
      <c r="F479" s="24">
        <f t="shared" si="11"/>
        <v>2.5841701122268161</v>
      </c>
    </row>
    <row r="480" spans="2:6" x14ac:dyDescent="0.25">
      <c r="B480" s="15" t="s">
        <v>255</v>
      </c>
      <c r="C480" s="1" t="s">
        <v>26</v>
      </c>
      <c r="D480" s="1">
        <v>6.4</v>
      </c>
      <c r="E480" s="1">
        <v>16</v>
      </c>
      <c r="F480" s="24">
        <f t="shared" si="11"/>
        <v>1.9688915140775742</v>
      </c>
    </row>
    <row r="481" spans="2:6" x14ac:dyDescent="0.25">
      <c r="B481" s="15" t="s">
        <v>271</v>
      </c>
      <c r="C481" s="1" t="s">
        <v>261</v>
      </c>
      <c r="D481" s="1">
        <v>16</v>
      </c>
      <c r="E481" s="1">
        <v>31</v>
      </c>
      <c r="F481" s="24">
        <f t="shared" si="11"/>
        <v>3.8147273085253004</v>
      </c>
    </row>
    <row r="482" spans="2:6" x14ac:dyDescent="0.25">
      <c r="B482" s="15" t="s">
        <v>259</v>
      </c>
      <c r="C482" s="1" t="s">
        <v>26</v>
      </c>
      <c r="D482" s="1">
        <v>12</v>
      </c>
      <c r="E482" s="1">
        <v>30</v>
      </c>
      <c r="F482" s="24">
        <f t="shared" si="11"/>
        <v>3.6916715888954514</v>
      </c>
    </row>
    <row r="483" spans="2:6" x14ac:dyDescent="0.25">
      <c r="B483" s="26" t="s">
        <v>316</v>
      </c>
      <c r="C483" s="1" t="s">
        <v>261</v>
      </c>
      <c r="D483" s="1">
        <v>22</v>
      </c>
      <c r="E483" s="1">
        <v>26.4</v>
      </c>
      <c r="F483" s="24">
        <f t="shared" si="11"/>
        <v>3.2486709982279969</v>
      </c>
    </row>
    <row r="484" spans="2:6" x14ac:dyDescent="0.25">
      <c r="B484" s="1"/>
      <c r="C484" s="1"/>
      <c r="D484" s="1"/>
      <c r="E484" s="1"/>
      <c r="F484" s="24">
        <f t="shared" si="11"/>
        <v>0</v>
      </c>
    </row>
    <row r="485" spans="2:6" x14ac:dyDescent="0.25">
      <c r="B485" s="10" t="s">
        <v>20</v>
      </c>
      <c r="C485" s="1"/>
      <c r="D485" s="1"/>
      <c r="E485" s="4">
        <f>SUM(E473:E484)</f>
        <v>699.4</v>
      </c>
      <c r="F485" s="22">
        <f>SUM(F473:F484)</f>
        <v>86.065170309115942</v>
      </c>
    </row>
    <row r="486" spans="2:6" x14ac:dyDescent="0.25">
      <c r="B486" s="4" t="s">
        <v>22</v>
      </c>
      <c r="C486" s="6"/>
      <c r="D486" s="6"/>
      <c r="E486" s="6"/>
      <c r="F486" s="23">
        <f>F471+F485</f>
        <v>102.24517030911593</v>
      </c>
    </row>
    <row r="487" spans="2:6" x14ac:dyDescent="0.25">
      <c r="B487" s="7"/>
      <c r="C487" s="7"/>
      <c r="D487" s="7"/>
      <c r="E487" s="7"/>
      <c r="F487" s="7"/>
    </row>
    <row r="488" spans="2:6" x14ac:dyDescent="0.25">
      <c r="B488" s="18"/>
      <c r="C488" s="18"/>
      <c r="D488" s="18"/>
      <c r="E488" s="18"/>
      <c r="F488" s="18"/>
    </row>
    <row r="489" spans="2:6" x14ac:dyDescent="0.25">
      <c r="B489" s="18"/>
      <c r="C489" s="18"/>
      <c r="D489" s="18"/>
      <c r="E489" s="18"/>
      <c r="F489" s="18"/>
    </row>
    <row r="490" spans="2:6" x14ac:dyDescent="0.25">
      <c r="B490" s="39" t="s">
        <v>23</v>
      </c>
      <c r="C490" s="38"/>
      <c r="D490" s="38"/>
      <c r="E490" s="39" t="s">
        <v>24</v>
      </c>
      <c r="F490" s="38"/>
    </row>
  </sheetData>
  <mergeCells count="60">
    <mergeCell ref="B84:F84"/>
    <mergeCell ref="B1:F1"/>
    <mergeCell ref="B2:F2"/>
    <mergeCell ref="C4:D4"/>
    <mergeCell ref="B40:D40"/>
    <mergeCell ref="E40:F40"/>
    <mergeCell ref="B42:F42"/>
    <mergeCell ref="B43:F43"/>
    <mergeCell ref="C45:D45"/>
    <mergeCell ref="B81:D81"/>
    <mergeCell ref="E81:F81"/>
    <mergeCell ref="B83:F83"/>
    <mergeCell ref="B204:D204"/>
    <mergeCell ref="E204:F204"/>
    <mergeCell ref="C86:D86"/>
    <mergeCell ref="B122:D122"/>
    <mergeCell ref="E122:F122"/>
    <mergeCell ref="B124:F124"/>
    <mergeCell ref="B125:F125"/>
    <mergeCell ref="C127:D127"/>
    <mergeCell ref="B163:D163"/>
    <mergeCell ref="E163:F163"/>
    <mergeCell ref="B165:F165"/>
    <mergeCell ref="B166:F166"/>
    <mergeCell ref="C168:D168"/>
    <mergeCell ref="B288:F288"/>
    <mergeCell ref="B206:F206"/>
    <mergeCell ref="B207:F207"/>
    <mergeCell ref="C209:D209"/>
    <mergeCell ref="B245:D245"/>
    <mergeCell ref="E245:F245"/>
    <mergeCell ref="B247:F247"/>
    <mergeCell ref="B248:F248"/>
    <mergeCell ref="C250:D250"/>
    <mergeCell ref="B285:D285"/>
    <mergeCell ref="E285:F285"/>
    <mergeCell ref="B287:F287"/>
    <mergeCell ref="B408:D408"/>
    <mergeCell ref="E408:F408"/>
    <mergeCell ref="C290:D290"/>
    <mergeCell ref="B326:D326"/>
    <mergeCell ref="E326:F326"/>
    <mergeCell ref="B328:F328"/>
    <mergeCell ref="B329:F329"/>
    <mergeCell ref="C331:D331"/>
    <mergeCell ref="B367:D367"/>
    <mergeCell ref="E367:F367"/>
    <mergeCell ref="B369:F369"/>
    <mergeCell ref="B370:F370"/>
    <mergeCell ref="C372:D372"/>
    <mergeCell ref="B452:F452"/>
    <mergeCell ref="C454:D454"/>
    <mergeCell ref="B490:D490"/>
    <mergeCell ref="E490:F490"/>
    <mergeCell ref="B410:F410"/>
    <mergeCell ref="B411:F411"/>
    <mergeCell ref="C413:D413"/>
    <mergeCell ref="B449:D449"/>
    <mergeCell ref="E449:F449"/>
    <mergeCell ref="B451:F45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01"/>
  <sheetViews>
    <sheetView topLeftCell="A1000" workbookViewId="0">
      <selection activeCell="E968" sqref="E968"/>
    </sheetView>
  </sheetViews>
  <sheetFormatPr defaultRowHeight="15" x14ac:dyDescent="0.25"/>
  <cols>
    <col min="2" max="2" width="41.28515625" customWidth="1"/>
    <col min="6" max="6" width="11.42578125" bestFit="1" customWidth="1"/>
  </cols>
  <sheetData>
    <row r="2" spans="2:6" ht="34.15" customHeight="1" x14ac:dyDescent="0.25">
      <c r="B2" s="37" t="s">
        <v>227</v>
      </c>
      <c r="C2" s="37"/>
      <c r="D2" s="37"/>
      <c r="E2" s="37"/>
      <c r="F2" s="37"/>
    </row>
    <row r="3" spans="2:6" ht="26.45" customHeight="1" x14ac:dyDescent="0.25">
      <c r="B3" s="37" t="s">
        <v>1</v>
      </c>
      <c r="C3" s="37"/>
      <c r="D3" s="37"/>
      <c r="E3" s="37"/>
      <c r="F3" s="37"/>
    </row>
    <row r="4" spans="2:6" x14ac:dyDescent="0.25">
      <c r="B4" s="16" t="s">
        <v>0</v>
      </c>
      <c r="C4" s="16"/>
      <c r="D4" s="16"/>
      <c r="E4" s="16"/>
      <c r="F4" s="16"/>
    </row>
    <row r="5" spans="2:6" x14ac:dyDescent="0.25">
      <c r="B5" s="17"/>
      <c r="C5" s="38" t="s">
        <v>25</v>
      </c>
      <c r="D5" s="38"/>
      <c r="E5" s="17">
        <v>447.3</v>
      </c>
      <c r="F5" s="17" t="s">
        <v>26</v>
      </c>
    </row>
    <row r="7" spans="2:6" ht="60" x14ac:dyDescent="0.25">
      <c r="B7" s="1" t="s">
        <v>2</v>
      </c>
      <c r="C7" s="1" t="s">
        <v>4</v>
      </c>
      <c r="D7" s="1" t="s">
        <v>3</v>
      </c>
      <c r="E7" s="1" t="s">
        <v>447</v>
      </c>
      <c r="F7" s="1" t="s">
        <v>5</v>
      </c>
    </row>
    <row r="8" spans="2:6" x14ac:dyDescent="0.25">
      <c r="B8" s="1"/>
      <c r="C8" s="1"/>
      <c r="D8" s="1"/>
      <c r="E8" s="1"/>
      <c r="F8" s="1"/>
    </row>
    <row r="9" spans="2:6" x14ac:dyDescent="0.25">
      <c r="B9" s="3" t="s">
        <v>6</v>
      </c>
      <c r="C9" s="1"/>
      <c r="D9" s="1"/>
      <c r="E9" s="1"/>
      <c r="F9" s="1"/>
    </row>
    <row r="10" spans="2:6" x14ac:dyDescent="0.25">
      <c r="B10" s="5" t="s">
        <v>7</v>
      </c>
      <c r="C10" s="1"/>
      <c r="D10" s="1"/>
      <c r="E10" s="1"/>
      <c r="F10" s="5">
        <v>2.0099999999999998</v>
      </c>
    </row>
    <row r="11" spans="2:6" x14ac:dyDescent="0.25">
      <c r="B11" s="5" t="s">
        <v>8</v>
      </c>
      <c r="C11" s="1"/>
      <c r="D11" s="1"/>
      <c r="E11" s="1"/>
      <c r="F11" s="5">
        <v>5.34</v>
      </c>
    </row>
    <row r="12" spans="2:6" ht="24.75" x14ac:dyDescent="0.25">
      <c r="B12" s="5" t="s">
        <v>11</v>
      </c>
      <c r="C12" s="1"/>
      <c r="D12" s="1"/>
      <c r="E12" s="1"/>
      <c r="F12" s="5">
        <v>0.55000000000000004</v>
      </c>
    </row>
    <row r="13" spans="2:6" ht="24.75" x14ac:dyDescent="0.25">
      <c r="B13" s="5" t="s">
        <v>12</v>
      </c>
      <c r="C13" s="1"/>
      <c r="D13" s="1"/>
      <c r="E13" s="1"/>
      <c r="F13" s="5">
        <v>0.53</v>
      </c>
    </row>
    <row r="14" spans="2:6" ht="24.75" x14ac:dyDescent="0.25">
      <c r="B14" s="5" t="s">
        <v>13</v>
      </c>
      <c r="C14" s="1"/>
      <c r="D14" s="1"/>
      <c r="E14" s="1"/>
      <c r="F14" s="5">
        <v>0.19</v>
      </c>
    </row>
    <row r="15" spans="2:6" ht="24.75" x14ac:dyDescent="0.25">
      <c r="B15" s="5" t="s">
        <v>9</v>
      </c>
      <c r="C15" s="1"/>
      <c r="D15" s="1"/>
      <c r="E15" s="1"/>
      <c r="F15" s="5">
        <v>0.26</v>
      </c>
    </row>
    <row r="16" spans="2:6" ht="24.75" x14ac:dyDescent="0.25">
      <c r="B16" s="5" t="s">
        <v>15</v>
      </c>
      <c r="C16" s="1"/>
      <c r="D16" s="1"/>
      <c r="E16" s="1"/>
      <c r="F16" s="5">
        <v>0.27</v>
      </c>
    </row>
    <row r="17" spans="2:6" ht="24.75" x14ac:dyDescent="0.25">
      <c r="B17" s="5" t="s">
        <v>16</v>
      </c>
      <c r="C17" s="1"/>
      <c r="D17" s="1"/>
      <c r="E17" s="1"/>
      <c r="F17" s="5">
        <v>0.28999999999999998</v>
      </c>
    </row>
    <row r="18" spans="2:6" x14ac:dyDescent="0.25">
      <c r="B18" s="5" t="s">
        <v>17</v>
      </c>
      <c r="C18" s="1"/>
      <c r="D18" s="1"/>
      <c r="E18" s="1"/>
      <c r="F18" s="5">
        <v>0.32</v>
      </c>
    </row>
    <row r="19" spans="2:6" x14ac:dyDescent="0.25">
      <c r="B19" s="5" t="s">
        <v>18</v>
      </c>
      <c r="C19" s="1"/>
      <c r="D19" s="1"/>
      <c r="E19" s="1"/>
      <c r="F19" s="5">
        <v>1.97</v>
      </c>
    </row>
    <row r="20" spans="2:6" x14ac:dyDescent="0.25">
      <c r="B20" s="5" t="s">
        <v>19</v>
      </c>
      <c r="C20" s="1"/>
      <c r="D20" s="1"/>
      <c r="E20" s="1"/>
      <c r="F20" s="5">
        <v>3.51</v>
      </c>
    </row>
    <row r="21" spans="2:6" x14ac:dyDescent="0.25">
      <c r="B21" s="10" t="s">
        <v>20</v>
      </c>
      <c r="C21" s="1"/>
      <c r="D21" s="1"/>
      <c r="E21" s="1"/>
      <c r="F21" s="4">
        <f>SUM(F10:F20)</f>
        <v>15.239999999999998</v>
      </c>
    </row>
    <row r="22" spans="2:6" x14ac:dyDescent="0.25">
      <c r="B22" s="3" t="s">
        <v>21</v>
      </c>
      <c r="C22" s="1"/>
      <c r="D22" s="1"/>
      <c r="E22" s="1"/>
      <c r="F22" s="1"/>
    </row>
    <row r="23" spans="2:6" x14ac:dyDescent="0.25">
      <c r="B23" s="15" t="s">
        <v>252</v>
      </c>
      <c r="C23" s="1" t="s">
        <v>256</v>
      </c>
      <c r="D23" s="1">
        <v>1</v>
      </c>
      <c r="E23" s="1">
        <v>40</v>
      </c>
      <c r="F23" s="24">
        <f>E23/447.3*1000/12</f>
        <v>7.4521201281764649</v>
      </c>
    </row>
    <row r="24" spans="2:6" x14ac:dyDescent="0.25">
      <c r="B24" s="15" t="s">
        <v>264</v>
      </c>
      <c r="C24" s="1" t="s">
        <v>265</v>
      </c>
      <c r="D24" s="1">
        <v>1</v>
      </c>
      <c r="E24" s="1">
        <v>15</v>
      </c>
      <c r="F24" s="24">
        <f t="shared" ref="F24:F34" si="0">E24/447.3*1000/12</f>
        <v>2.7945450480661749</v>
      </c>
    </row>
    <row r="25" spans="2:6" x14ac:dyDescent="0.25">
      <c r="B25" s="15" t="s">
        <v>253</v>
      </c>
      <c r="C25" s="1" t="s">
        <v>26</v>
      </c>
      <c r="D25" s="1">
        <v>60</v>
      </c>
      <c r="E25" s="1">
        <v>45</v>
      </c>
      <c r="F25" s="24">
        <f t="shared" si="0"/>
        <v>8.3836351441985233</v>
      </c>
    </row>
    <row r="26" spans="2:6" x14ac:dyDescent="0.25">
      <c r="B26" s="15" t="s">
        <v>299</v>
      </c>
      <c r="C26" s="1" t="s">
        <v>26</v>
      </c>
      <c r="D26" s="1">
        <v>40</v>
      </c>
      <c r="E26" s="1">
        <v>25</v>
      </c>
      <c r="F26" s="24">
        <f t="shared" si="0"/>
        <v>4.6575750801102913</v>
      </c>
    </row>
    <row r="27" spans="2:6" x14ac:dyDescent="0.25">
      <c r="B27" s="15" t="s">
        <v>255</v>
      </c>
      <c r="C27" s="1" t="s">
        <v>26</v>
      </c>
      <c r="D27" s="1">
        <v>4</v>
      </c>
      <c r="E27" s="1">
        <v>10</v>
      </c>
      <c r="F27" s="24">
        <f t="shared" si="0"/>
        <v>1.8630300320441162</v>
      </c>
    </row>
    <row r="28" spans="2:6" x14ac:dyDescent="0.25">
      <c r="B28" s="1"/>
      <c r="C28" s="1"/>
      <c r="D28" s="1"/>
      <c r="E28" s="1"/>
      <c r="F28" s="24">
        <f t="shared" si="0"/>
        <v>0</v>
      </c>
    </row>
    <row r="29" spans="2:6" x14ac:dyDescent="0.25">
      <c r="B29" s="1"/>
      <c r="C29" s="1"/>
      <c r="D29" s="1"/>
      <c r="E29" s="1"/>
      <c r="F29" s="24">
        <f t="shared" si="0"/>
        <v>0</v>
      </c>
    </row>
    <row r="30" spans="2:6" x14ac:dyDescent="0.25">
      <c r="B30" s="1"/>
      <c r="C30" s="1"/>
      <c r="D30" s="1"/>
      <c r="E30" s="1"/>
      <c r="F30" s="24">
        <f t="shared" si="0"/>
        <v>0</v>
      </c>
    </row>
    <row r="31" spans="2:6" x14ac:dyDescent="0.25">
      <c r="B31" s="1"/>
      <c r="C31" s="1"/>
      <c r="D31" s="1"/>
      <c r="E31" s="1"/>
      <c r="F31" s="24">
        <f t="shared" si="0"/>
        <v>0</v>
      </c>
    </row>
    <row r="32" spans="2:6" x14ac:dyDescent="0.25">
      <c r="B32" s="1"/>
      <c r="C32" s="1"/>
      <c r="D32" s="1"/>
      <c r="E32" s="1"/>
      <c r="F32" s="24">
        <f t="shared" si="0"/>
        <v>0</v>
      </c>
    </row>
    <row r="33" spans="2:6" x14ac:dyDescent="0.25">
      <c r="B33" s="1"/>
      <c r="C33" s="1"/>
      <c r="D33" s="1"/>
      <c r="E33" s="1"/>
      <c r="F33" s="24">
        <f t="shared" si="0"/>
        <v>0</v>
      </c>
    </row>
    <row r="34" spans="2:6" x14ac:dyDescent="0.25">
      <c r="B34" s="1"/>
      <c r="C34" s="1"/>
      <c r="D34" s="1"/>
      <c r="E34" s="1"/>
      <c r="F34" s="24">
        <f t="shared" si="0"/>
        <v>0</v>
      </c>
    </row>
    <row r="35" spans="2:6" x14ac:dyDescent="0.25">
      <c r="B35" s="10" t="s">
        <v>20</v>
      </c>
      <c r="C35" s="1"/>
      <c r="D35" s="1"/>
      <c r="E35" s="4">
        <f>SUM(E23:E34)</f>
        <v>135</v>
      </c>
      <c r="F35" s="22">
        <f>SUM(F23:F34)</f>
        <v>25.150905432595572</v>
      </c>
    </row>
    <row r="36" spans="2:6" x14ac:dyDescent="0.25">
      <c r="B36" s="4" t="s">
        <v>22</v>
      </c>
      <c r="C36" s="6"/>
      <c r="D36" s="6"/>
      <c r="E36" s="6"/>
      <c r="F36" s="23">
        <f>F21+F35</f>
        <v>40.390905432595574</v>
      </c>
    </row>
    <row r="37" spans="2:6" x14ac:dyDescent="0.25">
      <c r="B37" s="7"/>
      <c r="C37" s="7"/>
      <c r="D37" s="7"/>
      <c r="E37" s="7"/>
      <c r="F37" s="7"/>
    </row>
    <row r="38" spans="2:6" x14ac:dyDescent="0.25">
      <c r="B38" s="18"/>
      <c r="C38" s="18"/>
      <c r="D38" s="18"/>
      <c r="E38" s="18"/>
      <c r="F38" s="18"/>
    </row>
    <row r="39" spans="2:6" x14ac:dyDescent="0.25">
      <c r="B39" s="18"/>
      <c r="C39" s="18"/>
      <c r="D39" s="18"/>
      <c r="E39" s="18"/>
      <c r="F39" s="18"/>
    </row>
    <row r="40" spans="2:6" x14ac:dyDescent="0.25">
      <c r="B40" s="39" t="s">
        <v>23</v>
      </c>
      <c r="C40" s="38"/>
      <c r="D40" s="38"/>
      <c r="E40" s="39" t="s">
        <v>24</v>
      </c>
      <c r="F40" s="38"/>
    </row>
    <row r="42" spans="2:6" ht="34.15" customHeight="1" x14ac:dyDescent="0.25">
      <c r="B42" s="37" t="s">
        <v>228</v>
      </c>
      <c r="C42" s="37"/>
      <c r="D42" s="37"/>
      <c r="E42" s="37"/>
      <c r="F42" s="37"/>
    </row>
    <row r="43" spans="2:6" ht="31.15" customHeight="1" x14ac:dyDescent="0.25">
      <c r="B43" s="37" t="s">
        <v>1</v>
      </c>
      <c r="C43" s="37"/>
      <c r="D43" s="37"/>
      <c r="E43" s="37"/>
      <c r="F43" s="37"/>
    </row>
    <row r="44" spans="2:6" x14ac:dyDescent="0.25">
      <c r="B44" s="16" t="s">
        <v>0</v>
      </c>
      <c r="C44" s="16"/>
      <c r="D44" s="16"/>
      <c r="E44" s="16"/>
      <c r="F44" s="16"/>
    </row>
    <row r="45" spans="2:6" x14ac:dyDescent="0.25">
      <c r="B45" s="17"/>
      <c r="C45" s="38" t="s">
        <v>25</v>
      </c>
      <c r="D45" s="38"/>
      <c r="E45" s="17">
        <v>437.45</v>
      </c>
      <c r="F45" s="17" t="s">
        <v>26</v>
      </c>
    </row>
    <row r="47" spans="2:6" ht="60" x14ac:dyDescent="0.25">
      <c r="B47" s="1" t="s">
        <v>2</v>
      </c>
      <c r="C47" s="1" t="s">
        <v>4</v>
      </c>
      <c r="D47" s="1" t="s">
        <v>3</v>
      </c>
      <c r="E47" s="1" t="s">
        <v>447</v>
      </c>
      <c r="F47" s="1" t="s">
        <v>5</v>
      </c>
    </row>
    <row r="48" spans="2:6" x14ac:dyDescent="0.25">
      <c r="B48" s="1"/>
      <c r="C48" s="1"/>
      <c r="D48" s="1"/>
      <c r="E48" s="1"/>
      <c r="F48" s="1"/>
    </row>
    <row r="49" spans="2:6" x14ac:dyDescent="0.25">
      <c r="B49" s="3" t="s">
        <v>6</v>
      </c>
      <c r="C49" s="1"/>
      <c r="D49" s="1"/>
      <c r="E49" s="1"/>
      <c r="F49" s="1"/>
    </row>
    <row r="50" spans="2:6" x14ac:dyDescent="0.25">
      <c r="B50" s="5" t="s">
        <v>7</v>
      </c>
      <c r="C50" s="1"/>
      <c r="D50" s="1"/>
      <c r="E50" s="1"/>
      <c r="F50" s="5">
        <v>2.0099999999999998</v>
      </c>
    </row>
    <row r="51" spans="2:6" x14ac:dyDescent="0.25">
      <c r="B51" s="5" t="s">
        <v>8</v>
      </c>
      <c r="C51" s="1"/>
      <c r="D51" s="1"/>
      <c r="E51" s="1"/>
      <c r="F51" s="5">
        <v>5.34</v>
      </c>
    </row>
    <row r="52" spans="2:6" ht="24.75" x14ac:dyDescent="0.25">
      <c r="B52" s="5" t="s">
        <v>11</v>
      </c>
      <c r="C52" s="1"/>
      <c r="D52" s="1"/>
      <c r="E52" s="1"/>
      <c r="F52" s="5">
        <v>0.55000000000000004</v>
      </c>
    </row>
    <row r="53" spans="2:6" ht="24.75" x14ac:dyDescent="0.25">
      <c r="B53" s="5" t="s">
        <v>12</v>
      </c>
      <c r="C53" s="1"/>
      <c r="D53" s="1"/>
      <c r="E53" s="1"/>
      <c r="F53" s="5">
        <v>0.53</v>
      </c>
    </row>
    <row r="54" spans="2:6" ht="24.75" x14ac:dyDescent="0.25">
      <c r="B54" s="5" t="s">
        <v>13</v>
      </c>
      <c r="C54" s="1"/>
      <c r="D54" s="1"/>
      <c r="E54" s="1"/>
      <c r="F54" s="5">
        <v>0.19</v>
      </c>
    </row>
    <row r="55" spans="2:6" ht="24.75" x14ac:dyDescent="0.25">
      <c r="B55" s="5" t="s">
        <v>9</v>
      </c>
      <c r="C55" s="1"/>
      <c r="D55" s="1"/>
      <c r="E55" s="1"/>
      <c r="F55" s="5">
        <v>0.26</v>
      </c>
    </row>
    <row r="56" spans="2:6" ht="24.75" x14ac:dyDescent="0.25">
      <c r="B56" s="5" t="s">
        <v>15</v>
      </c>
      <c r="C56" s="1"/>
      <c r="D56" s="1"/>
      <c r="E56" s="1"/>
      <c r="F56" s="5">
        <v>0.27</v>
      </c>
    </row>
    <row r="57" spans="2:6" ht="24.75" x14ac:dyDescent="0.25">
      <c r="B57" s="5" t="s">
        <v>16</v>
      </c>
      <c r="C57" s="1"/>
      <c r="D57" s="1"/>
      <c r="E57" s="1"/>
      <c r="F57" s="5">
        <v>0.28999999999999998</v>
      </c>
    </row>
    <row r="58" spans="2:6" x14ac:dyDescent="0.25">
      <c r="B58" s="5" t="s">
        <v>17</v>
      </c>
      <c r="C58" s="1"/>
      <c r="D58" s="1"/>
      <c r="E58" s="1"/>
      <c r="F58" s="5">
        <v>0.32</v>
      </c>
    </row>
    <row r="59" spans="2:6" x14ac:dyDescent="0.25">
      <c r="B59" s="5" t="s">
        <v>18</v>
      </c>
      <c r="C59" s="1"/>
      <c r="D59" s="1"/>
      <c r="E59" s="1"/>
      <c r="F59" s="5">
        <v>1.97</v>
      </c>
    </row>
    <row r="60" spans="2:6" x14ac:dyDescent="0.25">
      <c r="B60" s="5" t="s">
        <v>19</v>
      </c>
      <c r="C60" s="1"/>
      <c r="D60" s="1"/>
      <c r="E60" s="1"/>
      <c r="F60" s="5">
        <v>3.51</v>
      </c>
    </row>
    <row r="61" spans="2:6" x14ac:dyDescent="0.25">
      <c r="B61" s="10" t="s">
        <v>20</v>
      </c>
      <c r="C61" s="1"/>
      <c r="D61" s="1"/>
      <c r="E61" s="1"/>
      <c r="F61" s="4">
        <f>SUM(F50:F60)</f>
        <v>15.239999999999998</v>
      </c>
    </row>
    <row r="62" spans="2:6" x14ac:dyDescent="0.25">
      <c r="B62" s="3" t="s">
        <v>21</v>
      </c>
      <c r="C62" s="1"/>
      <c r="D62" s="1"/>
      <c r="E62" s="1"/>
      <c r="F62" s="1"/>
    </row>
    <row r="63" spans="2:6" x14ac:dyDescent="0.25">
      <c r="B63" s="15" t="s">
        <v>300</v>
      </c>
      <c r="C63" s="1" t="s">
        <v>256</v>
      </c>
      <c r="D63" s="1">
        <v>2</v>
      </c>
      <c r="E63" s="1">
        <v>80</v>
      </c>
      <c r="F63" s="24">
        <f>E63/437.45*1000/12</f>
        <v>15.23983693374481</v>
      </c>
    </row>
    <row r="64" spans="2:6" x14ac:dyDescent="0.25">
      <c r="B64" s="15" t="s">
        <v>269</v>
      </c>
      <c r="C64" s="1" t="s">
        <v>261</v>
      </c>
      <c r="D64" s="1">
        <v>4</v>
      </c>
      <c r="E64" s="1">
        <v>20</v>
      </c>
      <c r="F64" s="24">
        <f t="shared" ref="F64:F74" si="1">E64/437.45*1000/12</f>
        <v>3.8099592334362025</v>
      </c>
    </row>
    <row r="65" spans="2:6" x14ac:dyDescent="0.25">
      <c r="B65" s="15" t="s">
        <v>301</v>
      </c>
      <c r="C65" s="1" t="s">
        <v>265</v>
      </c>
      <c r="D65" s="1">
        <v>1</v>
      </c>
      <c r="E65" s="1">
        <v>15</v>
      </c>
      <c r="F65" s="24">
        <f t="shared" si="1"/>
        <v>2.8574694250771522</v>
      </c>
    </row>
    <row r="66" spans="2:6" x14ac:dyDescent="0.25">
      <c r="B66" s="15" t="s">
        <v>253</v>
      </c>
      <c r="C66" s="1" t="s">
        <v>26</v>
      </c>
      <c r="D66" s="1">
        <v>108</v>
      </c>
      <c r="E66" s="1">
        <v>76</v>
      </c>
      <c r="F66" s="24">
        <f t="shared" si="1"/>
        <v>14.477845087057567</v>
      </c>
    </row>
    <row r="67" spans="2:6" x14ac:dyDescent="0.25">
      <c r="B67" s="15" t="s">
        <v>293</v>
      </c>
      <c r="C67" s="1" t="s">
        <v>26</v>
      </c>
      <c r="D67" s="1">
        <v>12</v>
      </c>
      <c r="E67" s="1">
        <v>6</v>
      </c>
      <c r="F67" s="24">
        <f t="shared" si="1"/>
        <v>1.1429877700308606</v>
      </c>
    </row>
    <row r="68" spans="2:6" x14ac:dyDescent="0.25">
      <c r="B68" s="15" t="s">
        <v>254</v>
      </c>
      <c r="C68" s="1" t="s">
        <v>26</v>
      </c>
      <c r="D68" s="1">
        <v>89</v>
      </c>
      <c r="E68" s="1">
        <v>55</v>
      </c>
      <c r="F68" s="24">
        <f t="shared" si="1"/>
        <v>10.477387891949556</v>
      </c>
    </row>
    <row r="69" spans="2:6" x14ac:dyDescent="0.25">
      <c r="B69" s="15" t="s">
        <v>255</v>
      </c>
      <c r="C69" s="1" t="s">
        <v>26</v>
      </c>
      <c r="D69" s="1">
        <v>6</v>
      </c>
      <c r="E69" s="1">
        <v>15</v>
      </c>
      <c r="F69" s="24">
        <f t="shared" si="1"/>
        <v>2.8574694250771522</v>
      </c>
    </row>
    <row r="70" spans="2:6" x14ac:dyDescent="0.25">
      <c r="B70" s="15" t="s">
        <v>259</v>
      </c>
      <c r="C70" s="1" t="s">
        <v>26</v>
      </c>
      <c r="D70" s="1">
        <v>6</v>
      </c>
      <c r="E70" s="1">
        <v>12</v>
      </c>
      <c r="F70" s="24">
        <f t="shared" si="1"/>
        <v>2.2859755400617212</v>
      </c>
    </row>
    <row r="71" spans="2:6" x14ac:dyDescent="0.25">
      <c r="B71" s="1"/>
      <c r="C71" s="1"/>
      <c r="D71" s="1"/>
      <c r="E71" s="1"/>
      <c r="F71" s="24">
        <f t="shared" si="1"/>
        <v>0</v>
      </c>
    </row>
    <row r="72" spans="2:6" x14ac:dyDescent="0.25">
      <c r="B72" s="1"/>
      <c r="C72" s="1"/>
      <c r="D72" s="1"/>
      <c r="E72" s="1"/>
      <c r="F72" s="24">
        <f t="shared" si="1"/>
        <v>0</v>
      </c>
    </row>
    <row r="73" spans="2:6" x14ac:dyDescent="0.25">
      <c r="B73" s="1"/>
      <c r="C73" s="1"/>
      <c r="D73" s="1"/>
      <c r="E73" s="1"/>
      <c r="F73" s="24">
        <f t="shared" si="1"/>
        <v>0</v>
      </c>
    </row>
    <row r="74" spans="2:6" x14ac:dyDescent="0.25">
      <c r="B74" s="1"/>
      <c r="C74" s="1"/>
      <c r="D74" s="1"/>
      <c r="E74" s="1"/>
      <c r="F74" s="24">
        <f t="shared" si="1"/>
        <v>0</v>
      </c>
    </row>
    <row r="75" spans="2:6" x14ac:dyDescent="0.25">
      <c r="B75" s="10" t="s">
        <v>20</v>
      </c>
      <c r="C75" s="1"/>
      <c r="D75" s="1"/>
      <c r="E75" s="4">
        <f>SUM(E63:E74)</f>
        <v>279</v>
      </c>
      <c r="F75" s="22">
        <f>SUM(F63:F74)</f>
        <v>53.148931306435024</v>
      </c>
    </row>
    <row r="76" spans="2:6" x14ac:dyDescent="0.25">
      <c r="B76" s="4" t="s">
        <v>22</v>
      </c>
      <c r="C76" s="6"/>
      <c r="D76" s="6"/>
      <c r="E76" s="6"/>
      <c r="F76" s="23">
        <f>F61+F75</f>
        <v>68.388931306435026</v>
      </c>
    </row>
    <row r="77" spans="2:6" x14ac:dyDescent="0.25">
      <c r="B77" s="7"/>
      <c r="C77" s="7"/>
      <c r="D77" s="7"/>
      <c r="E77" s="7"/>
      <c r="F77" s="7"/>
    </row>
    <row r="78" spans="2:6" x14ac:dyDescent="0.25">
      <c r="B78" s="18"/>
      <c r="C78" s="18"/>
      <c r="D78" s="18"/>
      <c r="E78" s="18"/>
      <c r="F78" s="18"/>
    </row>
    <row r="79" spans="2:6" x14ac:dyDescent="0.25">
      <c r="B79" s="18"/>
      <c r="C79" s="18"/>
      <c r="D79" s="18"/>
      <c r="E79" s="18"/>
      <c r="F79" s="18"/>
    </row>
    <row r="80" spans="2:6" x14ac:dyDescent="0.25">
      <c r="B80" s="39" t="s">
        <v>23</v>
      </c>
      <c r="C80" s="38"/>
      <c r="D80" s="38"/>
      <c r="E80" s="39" t="s">
        <v>24</v>
      </c>
      <c r="F80" s="38"/>
    </row>
    <row r="82" spans="2:6" ht="31.9" customHeight="1" x14ac:dyDescent="0.25">
      <c r="B82" s="37" t="s">
        <v>229</v>
      </c>
      <c r="C82" s="37"/>
      <c r="D82" s="37"/>
      <c r="E82" s="37"/>
      <c r="F82" s="37"/>
    </row>
    <row r="83" spans="2:6" ht="28.9" customHeight="1" x14ac:dyDescent="0.25">
      <c r="B83" s="37" t="s">
        <v>1</v>
      </c>
      <c r="C83" s="37"/>
      <c r="D83" s="37"/>
      <c r="E83" s="37"/>
      <c r="F83" s="37"/>
    </row>
    <row r="84" spans="2:6" x14ac:dyDescent="0.25">
      <c r="B84" s="16" t="s">
        <v>0</v>
      </c>
      <c r="C84" s="16"/>
      <c r="D84" s="16"/>
      <c r="E84" s="16"/>
      <c r="F84" s="16"/>
    </row>
    <row r="85" spans="2:6" x14ac:dyDescent="0.25">
      <c r="B85" s="17"/>
      <c r="C85" s="38" t="s">
        <v>25</v>
      </c>
      <c r="D85" s="38"/>
      <c r="E85" s="17">
        <v>589.20000000000005</v>
      </c>
      <c r="F85" s="17" t="s">
        <v>26</v>
      </c>
    </row>
    <row r="87" spans="2:6" ht="60" x14ac:dyDescent="0.25">
      <c r="B87" s="1" t="s">
        <v>2</v>
      </c>
      <c r="C87" s="1" t="s">
        <v>4</v>
      </c>
      <c r="D87" s="1" t="s">
        <v>3</v>
      </c>
      <c r="E87" s="1" t="s">
        <v>447</v>
      </c>
      <c r="F87" s="1" t="s">
        <v>5</v>
      </c>
    </row>
    <row r="88" spans="2:6" x14ac:dyDescent="0.25">
      <c r="B88" s="1"/>
      <c r="C88" s="1"/>
      <c r="D88" s="1"/>
      <c r="E88" s="1"/>
      <c r="F88" s="1"/>
    </row>
    <row r="89" spans="2:6" x14ac:dyDescent="0.25">
      <c r="B89" s="3" t="s">
        <v>6</v>
      </c>
      <c r="C89" s="1"/>
      <c r="D89" s="1"/>
      <c r="E89" s="1"/>
      <c r="F89" s="1"/>
    </row>
    <row r="90" spans="2:6" x14ac:dyDescent="0.25">
      <c r="B90" s="5" t="s">
        <v>7</v>
      </c>
      <c r="C90" s="1"/>
      <c r="D90" s="1"/>
      <c r="E90" s="1"/>
      <c r="F90" s="5">
        <v>2.0099999999999998</v>
      </c>
    </row>
    <row r="91" spans="2:6" x14ac:dyDescent="0.25">
      <c r="B91" s="5" t="s">
        <v>8</v>
      </c>
      <c r="C91" s="1"/>
      <c r="D91" s="1"/>
      <c r="E91" s="1"/>
      <c r="F91" s="5">
        <v>5.34</v>
      </c>
    </row>
    <row r="92" spans="2:6" ht="24.75" x14ac:dyDescent="0.25">
      <c r="B92" s="5" t="s">
        <v>11</v>
      </c>
      <c r="C92" s="1"/>
      <c r="D92" s="1"/>
      <c r="E92" s="1"/>
      <c r="F92" s="5">
        <v>0.55000000000000004</v>
      </c>
    </row>
    <row r="93" spans="2:6" ht="24.75" x14ac:dyDescent="0.25">
      <c r="B93" s="5" t="s">
        <v>12</v>
      </c>
      <c r="C93" s="1"/>
      <c r="D93" s="1"/>
      <c r="E93" s="1"/>
      <c r="F93" s="5">
        <v>0.53</v>
      </c>
    </row>
    <row r="94" spans="2:6" ht="24.75" x14ac:dyDescent="0.25">
      <c r="B94" s="5" t="s">
        <v>13</v>
      </c>
      <c r="C94" s="1"/>
      <c r="D94" s="1"/>
      <c r="E94" s="1"/>
      <c r="F94" s="5">
        <v>0.19</v>
      </c>
    </row>
    <row r="95" spans="2:6" ht="24.75" x14ac:dyDescent="0.25">
      <c r="B95" s="5" t="s">
        <v>9</v>
      </c>
      <c r="C95" s="1"/>
      <c r="D95" s="1"/>
      <c r="E95" s="1"/>
      <c r="F95" s="5">
        <v>0.26</v>
      </c>
    </row>
    <row r="96" spans="2:6" ht="24.75" x14ac:dyDescent="0.25">
      <c r="B96" s="5" t="s">
        <v>15</v>
      </c>
      <c r="C96" s="1"/>
      <c r="D96" s="1"/>
      <c r="E96" s="1"/>
      <c r="F96" s="5">
        <v>0.27</v>
      </c>
    </row>
    <row r="97" spans="2:6" ht="24.75" x14ac:dyDescent="0.25">
      <c r="B97" s="5" t="s">
        <v>16</v>
      </c>
      <c r="C97" s="1"/>
      <c r="D97" s="1"/>
      <c r="E97" s="1"/>
      <c r="F97" s="5">
        <v>0.28999999999999998</v>
      </c>
    </row>
    <row r="98" spans="2:6" x14ac:dyDescent="0.25">
      <c r="B98" s="5" t="s">
        <v>17</v>
      </c>
      <c r="C98" s="1"/>
      <c r="D98" s="1"/>
      <c r="E98" s="1"/>
      <c r="F98" s="5">
        <v>0.32</v>
      </c>
    </row>
    <row r="99" spans="2:6" x14ac:dyDescent="0.25">
      <c r="B99" s="5" t="s">
        <v>18</v>
      </c>
      <c r="C99" s="1"/>
      <c r="D99" s="1"/>
      <c r="E99" s="1"/>
      <c r="F99" s="5">
        <v>1.97</v>
      </c>
    </row>
    <row r="100" spans="2:6" x14ac:dyDescent="0.25">
      <c r="B100" s="5" t="s">
        <v>19</v>
      </c>
      <c r="C100" s="1"/>
      <c r="D100" s="1"/>
      <c r="E100" s="1"/>
      <c r="F100" s="5">
        <v>3.51</v>
      </c>
    </row>
    <row r="101" spans="2:6" x14ac:dyDescent="0.25">
      <c r="B101" s="10" t="s">
        <v>20</v>
      </c>
      <c r="C101" s="1"/>
      <c r="D101" s="1"/>
      <c r="E101" s="1"/>
      <c r="F101" s="4">
        <f>SUM(F90:F100)</f>
        <v>15.239999999999998</v>
      </c>
    </row>
    <row r="102" spans="2:6" x14ac:dyDescent="0.25">
      <c r="B102" s="3" t="s">
        <v>21</v>
      </c>
      <c r="C102" s="1"/>
      <c r="D102" s="1"/>
      <c r="E102" s="1"/>
      <c r="F102" s="1"/>
    </row>
    <row r="103" spans="2:6" x14ac:dyDescent="0.25">
      <c r="B103" s="15" t="s">
        <v>252</v>
      </c>
      <c r="C103" s="1" t="s">
        <v>295</v>
      </c>
      <c r="D103" s="1">
        <v>2</v>
      </c>
      <c r="E103" s="1">
        <v>80</v>
      </c>
      <c r="F103" s="24">
        <f>E103/589.2*1000/12</f>
        <v>11.314777098891151</v>
      </c>
    </row>
    <row r="104" spans="2:6" x14ac:dyDescent="0.25">
      <c r="B104" s="15" t="s">
        <v>284</v>
      </c>
      <c r="C104" s="1" t="s">
        <v>265</v>
      </c>
      <c r="D104" s="1">
        <v>2</v>
      </c>
      <c r="E104" s="1">
        <v>40</v>
      </c>
      <c r="F104" s="24">
        <f t="shared" ref="F104:F114" si="2">E104/589.2*1000/12</f>
        <v>5.6573885494455753</v>
      </c>
    </row>
    <row r="105" spans="2:6" x14ac:dyDescent="0.25">
      <c r="B105" s="15" t="s">
        <v>264</v>
      </c>
      <c r="C105" s="1" t="s">
        <v>265</v>
      </c>
      <c r="D105" s="1">
        <v>1</v>
      </c>
      <c r="E105" s="1">
        <v>15</v>
      </c>
      <c r="F105" s="24">
        <f t="shared" si="2"/>
        <v>2.1215207060420909</v>
      </c>
    </row>
    <row r="106" spans="2:6" x14ac:dyDescent="0.25">
      <c r="B106" s="15" t="s">
        <v>293</v>
      </c>
      <c r="C106" s="1" t="s">
        <v>26</v>
      </c>
      <c r="D106" s="1">
        <v>8</v>
      </c>
      <c r="E106" s="1">
        <v>4</v>
      </c>
      <c r="F106" s="24">
        <f t="shared" si="2"/>
        <v>0.56573885494455756</v>
      </c>
    </row>
    <row r="107" spans="2:6" x14ac:dyDescent="0.25">
      <c r="B107" s="15" t="s">
        <v>276</v>
      </c>
      <c r="C107" s="1" t="s">
        <v>26</v>
      </c>
      <c r="D107" s="1">
        <v>580</v>
      </c>
      <c r="E107" s="1">
        <v>464</v>
      </c>
      <c r="F107" s="24">
        <f t="shared" si="2"/>
        <v>65.625707173568671</v>
      </c>
    </row>
    <row r="108" spans="2:6" x14ac:dyDescent="0.25">
      <c r="B108" s="15" t="s">
        <v>255</v>
      </c>
      <c r="C108" s="1" t="s">
        <v>26</v>
      </c>
      <c r="D108" s="1">
        <v>4</v>
      </c>
      <c r="E108" s="1">
        <v>5</v>
      </c>
      <c r="F108" s="24">
        <f t="shared" si="2"/>
        <v>0.70717356868069692</v>
      </c>
    </row>
    <row r="109" spans="2:6" x14ac:dyDescent="0.25">
      <c r="B109" s="1"/>
      <c r="C109" s="1"/>
      <c r="D109" s="1"/>
      <c r="E109" s="1"/>
      <c r="F109" s="24">
        <f t="shared" si="2"/>
        <v>0</v>
      </c>
    </row>
    <row r="110" spans="2:6" x14ac:dyDescent="0.25">
      <c r="B110" s="1"/>
      <c r="C110" s="1"/>
      <c r="D110" s="1"/>
      <c r="E110" s="1"/>
      <c r="F110" s="24">
        <f t="shared" si="2"/>
        <v>0</v>
      </c>
    </row>
    <row r="111" spans="2:6" x14ac:dyDescent="0.25">
      <c r="B111" s="1"/>
      <c r="C111" s="1"/>
      <c r="D111" s="1"/>
      <c r="E111" s="1"/>
      <c r="F111" s="24">
        <f t="shared" si="2"/>
        <v>0</v>
      </c>
    </row>
    <row r="112" spans="2:6" x14ac:dyDescent="0.25">
      <c r="B112" s="1"/>
      <c r="C112" s="1"/>
      <c r="D112" s="1"/>
      <c r="E112" s="1"/>
      <c r="F112" s="24">
        <f t="shared" si="2"/>
        <v>0</v>
      </c>
    </row>
    <row r="113" spans="2:6" x14ac:dyDescent="0.25">
      <c r="B113" s="1"/>
      <c r="C113" s="1"/>
      <c r="D113" s="1"/>
      <c r="E113" s="1"/>
      <c r="F113" s="24">
        <f t="shared" si="2"/>
        <v>0</v>
      </c>
    </row>
    <row r="114" spans="2:6" x14ac:dyDescent="0.25">
      <c r="B114" s="1"/>
      <c r="C114" s="1"/>
      <c r="D114" s="1"/>
      <c r="E114" s="1"/>
      <c r="F114" s="24">
        <f t="shared" si="2"/>
        <v>0</v>
      </c>
    </row>
    <row r="115" spans="2:6" x14ac:dyDescent="0.25">
      <c r="B115" s="10" t="s">
        <v>20</v>
      </c>
      <c r="C115" s="1"/>
      <c r="D115" s="1"/>
      <c r="E115" s="4">
        <f>SUM(E103:E114)</f>
        <v>608</v>
      </c>
      <c r="F115" s="22">
        <f>SUM(F103:F114)</f>
        <v>85.992305951572746</v>
      </c>
    </row>
    <row r="116" spans="2:6" x14ac:dyDescent="0.25">
      <c r="B116" s="4" t="s">
        <v>22</v>
      </c>
      <c r="C116" s="6"/>
      <c r="D116" s="6"/>
      <c r="E116" s="6"/>
      <c r="F116" s="23">
        <f>F101+F115</f>
        <v>101.23230595157274</v>
      </c>
    </row>
    <row r="117" spans="2:6" x14ac:dyDescent="0.25">
      <c r="B117" s="7"/>
      <c r="C117" s="7"/>
      <c r="D117" s="7"/>
      <c r="E117" s="7"/>
      <c r="F117" s="7"/>
    </row>
    <row r="118" spans="2:6" x14ac:dyDescent="0.25">
      <c r="B118" s="18"/>
      <c r="C118" s="18"/>
      <c r="D118" s="18"/>
      <c r="E118" s="18"/>
      <c r="F118" s="18"/>
    </row>
    <row r="119" spans="2:6" x14ac:dyDescent="0.25">
      <c r="B119" s="18"/>
      <c r="C119" s="18"/>
      <c r="D119" s="18"/>
      <c r="E119" s="18"/>
      <c r="F119" s="18"/>
    </row>
    <row r="120" spans="2:6" x14ac:dyDescent="0.25">
      <c r="B120" s="39" t="s">
        <v>23</v>
      </c>
      <c r="C120" s="38"/>
      <c r="D120" s="38"/>
      <c r="E120" s="39" t="s">
        <v>24</v>
      </c>
      <c r="F120" s="38"/>
    </row>
    <row r="122" spans="2:6" ht="32.450000000000003" customHeight="1" x14ac:dyDescent="0.25">
      <c r="B122" s="37" t="s">
        <v>230</v>
      </c>
      <c r="C122" s="37"/>
      <c r="D122" s="37"/>
      <c r="E122" s="37"/>
      <c r="F122" s="37"/>
    </row>
    <row r="123" spans="2:6" ht="29.45" customHeight="1" x14ac:dyDescent="0.25">
      <c r="B123" s="37" t="s">
        <v>1</v>
      </c>
      <c r="C123" s="37"/>
      <c r="D123" s="37"/>
      <c r="E123" s="37"/>
      <c r="F123" s="37"/>
    </row>
    <row r="124" spans="2:6" x14ac:dyDescent="0.25">
      <c r="B124" s="16" t="s">
        <v>0</v>
      </c>
      <c r="C124" s="16"/>
      <c r="D124" s="16"/>
      <c r="E124" s="16"/>
      <c r="F124" s="16"/>
    </row>
    <row r="125" spans="2:6" x14ac:dyDescent="0.25">
      <c r="B125" s="17"/>
      <c r="C125" s="38" t="s">
        <v>25</v>
      </c>
      <c r="D125" s="38"/>
      <c r="E125" s="17">
        <v>439.6</v>
      </c>
      <c r="F125" s="17" t="s">
        <v>26</v>
      </c>
    </row>
    <row r="127" spans="2:6" ht="60" x14ac:dyDescent="0.25">
      <c r="B127" s="1" t="s">
        <v>2</v>
      </c>
      <c r="C127" s="1" t="s">
        <v>4</v>
      </c>
      <c r="D127" s="1" t="s">
        <v>3</v>
      </c>
      <c r="E127" s="1" t="s">
        <v>447</v>
      </c>
      <c r="F127" s="1" t="s">
        <v>5</v>
      </c>
    </row>
    <row r="128" spans="2:6" x14ac:dyDescent="0.25">
      <c r="B128" s="1"/>
      <c r="C128" s="1"/>
      <c r="D128" s="1"/>
      <c r="E128" s="1"/>
      <c r="F128" s="1"/>
    </row>
    <row r="129" spans="2:6" x14ac:dyDescent="0.25">
      <c r="B129" s="3" t="s">
        <v>6</v>
      </c>
      <c r="C129" s="1"/>
      <c r="D129" s="1"/>
      <c r="E129" s="1"/>
      <c r="F129" s="1"/>
    </row>
    <row r="130" spans="2:6" x14ac:dyDescent="0.25">
      <c r="B130" s="5" t="s">
        <v>7</v>
      </c>
      <c r="C130" s="1"/>
      <c r="D130" s="1"/>
      <c r="E130" s="1"/>
      <c r="F130" s="5">
        <v>2.0099999999999998</v>
      </c>
    </row>
    <row r="131" spans="2:6" x14ac:dyDescent="0.25">
      <c r="B131" s="5" t="s">
        <v>8</v>
      </c>
      <c r="C131" s="1"/>
      <c r="D131" s="1"/>
      <c r="E131" s="1"/>
      <c r="F131" s="5">
        <v>5.34</v>
      </c>
    </row>
    <row r="132" spans="2:6" ht="24.75" x14ac:dyDescent="0.25">
      <c r="B132" s="5" t="s">
        <v>11</v>
      </c>
      <c r="C132" s="1"/>
      <c r="D132" s="1"/>
      <c r="E132" s="1"/>
      <c r="F132" s="5">
        <v>0.55000000000000004</v>
      </c>
    </row>
    <row r="133" spans="2:6" ht="24.75" x14ac:dyDescent="0.25">
      <c r="B133" s="5" t="s">
        <v>12</v>
      </c>
      <c r="C133" s="1"/>
      <c r="D133" s="1"/>
      <c r="E133" s="1"/>
      <c r="F133" s="5">
        <v>0.53</v>
      </c>
    </row>
    <row r="134" spans="2:6" ht="24.75" x14ac:dyDescent="0.25">
      <c r="B134" s="5" t="s">
        <v>13</v>
      </c>
      <c r="C134" s="1"/>
      <c r="D134" s="1"/>
      <c r="E134" s="1"/>
      <c r="F134" s="5">
        <v>0.19</v>
      </c>
    </row>
    <row r="135" spans="2:6" ht="24.75" x14ac:dyDescent="0.25">
      <c r="B135" s="5" t="s">
        <v>9</v>
      </c>
      <c r="C135" s="1"/>
      <c r="D135" s="1"/>
      <c r="E135" s="1"/>
      <c r="F135" s="5">
        <v>0.26</v>
      </c>
    </row>
    <row r="136" spans="2:6" ht="24.75" x14ac:dyDescent="0.25">
      <c r="B136" s="5" t="s">
        <v>15</v>
      </c>
      <c r="C136" s="1"/>
      <c r="D136" s="1"/>
      <c r="E136" s="1"/>
      <c r="F136" s="5">
        <v>0.27</v>
      </c>
    </row>
    <row r="137" spans="2:6" ht="24.75" x14ac:dyDescent="0.25">
      <c r="B137" s="5" t="s">
        <v>16</v>
      </c>
      <c r="C137" s="1"/>
      <c r="D137" s="1"/>
      <c r="E137" s="1"/>
      <c r="F137" s="5">
        <v>0.28999999999999998</v>
      </c>
    </row>
    <row r="138" spans="2:6" x14ac:dyDescent="0.25">
      <c r="B138" s="5" t="s">
        <v>17</v>
      </c>
      <c r="C138" s="1"/>
      <c r="D138" s="1"/>
      <c r="E138" s="1"/>
      <c r="F138" s="5">
        <v>0.32</v>
      </c>
    </row>
    <row r="139" spans="2:6" x14ac:dyDescent="0.25">
      <c r="B139" s="5" t="s">
        <v>18</v>
      </c>
      <c r="C139" s="1"/>
      <c r="D139" s="1"/>
      <c r="E139" s="1"/>
      <c r="F139" s="5">
        <v>1.97</v>
      </c>
    </row>
    <row r="140" spans="2:6" x14ac:dyDescent="0.25">
      <c r="B140" s="5" t="s">
        <v>19</v>
      </c>
      <c r="C140" s="1"/>
      <c r="D140" s="1"/>
      <c r="E140" s="1"/>
      <c r="F140" s="5">
        <v>3.51</v>
      </c>
    </row>
    <row r="141" spans="2:6" x14ac:dyDescent="0.25">
      <c r="B141" s="10" t="s">
        <v>20</v>
      </c>
      <c r="C141" s="1"/>
      <c r="D141" s="1"/>
      <c r="E141" s="1"/>
      <c r="F141" s="4">
        <f>SUM(F130:F140)</f>
        <v>15.239999999999998</v>
      </c>
    </row>
    <row r="142" spans="2:6" x14ac:dyDescent="0.25">
      <c r="B142" s="3" t="s">
        <v>21</v>
      </c>
      <c r="C142" s="1"/>
      <c r="D142" s="1"/>
      <c r="E142" s="1"/>
      <c r="F142" s="1"/>
    </row>
    <row r="143" spans="2:6" x14ac:dyDescent="0.25">
      <c r="B143" s="15" t="s">
        <v>252</v>
      </c>
      <c r="C143" s="1" t="s">
        <v>256</v>
      </c>
      <c r="D143" s="1">
        <v>2</v>
      </c>
      <c r="E143" s="1">
        <v>80</v>
      </c>
      <c r="F143" s="24">
        <f>E143/439.6*1000/12</f>
        <v>15.165301789505611</v>
      </c>
    </row>
    <row r="144" spans="2:6" x14ac:dyDescent="0.25">
      <c r="B144" s="15" t="s">
        <v>253</v>
      </c>
      <c r="C144" s="1" t="s">
        <v>26</v>
      </c>
      <c r="D144" s="1">
        <v>104</v>
      </c>
      <c r="E144" s="1">
        <v>75</v>
      </c>
      <c r="F144" s="24">
        <f t="shared" ref="F144:F154" si="3">E144/439.6*1000/12</f>
        <v>14.217470427661508</v>
      </c>
    </row>
    <row r="145" spans="2:6" x14ac:dyDescent="0.25">
      <c r="B145" s="15" t="s">
        <v>254</v>
      </c>
      <c r="C145" s="1" t="s">
        <v>26</v>
      </c>
      <c r="D145" s="1">
        <v>89</v>
      </c>
      <c r="E145" s="1">
        <v>55</v>
      </c>
      <c r="F145" s="24">
        <f t="shared" si="3"/>
        <v>10.426144980285107</v>
      </c>
    </row>
    <row r="146" spans="2:6" x14ac:dyDescent="0.25">
      <c r="B146" s="15" t="s">
        <v>258</v>
      </c>
      <c r="C146" s="1" t="s">
        <v>261</v>
      </c>
      <c r="D146" s="1">
        <v>11.5</v>
      </c>
      <c r="E146" s="1">
        <v>15</v>
      </c>
      <c r="F146" s="24">
        <f t="shared" si="3"/>
        <v>2.8434940855323023</v>
      </c>
    </row>
    <row r="147" spans="2:6" x14ac:dyDescent="0.25">
      <c r="B147" s="15" t="s">
        <v>255</v>
      </c>
      <c r="C147" s="1" t="s">
        <v>26</v>
      </c>
      <c r="D147" s="1">
        <v>4.2</v>
      </c>
      <c r="E147" s="1">
        <v>10</v>
      </c>
      <c r="F147" s="24">
        <f t="shared" si="3"/>
        <v>1.8956627236882013</v>
      </c>
    </row>
    <row r="148" spans="2:6" x14ac:dyDescent="0.25">
      <c r="B148" s="15" t="s">
        <v>259</v>
      </c>
      <c r="C148" s="1" t="s">
        <v>26</v>
      </c>
      <c r="D148" s="1">
        <v>4</v>
      </c>
      <c r="E148" s="1">
        <v>8</v>
      </c>
      <c r="F148" s="24">
        <f t="shared" si="3"/>
        <v>1.5165301789505612</v>
      </c>
    </row>
    <row r="149" spans="2:6" x14ac:dyDescent="0.25">
      <c r="B149" s="1"/>
      <c r="C149" s="1"/>
      <c r="D149" s="1"/>
      <c r="E149" s="1"/>
      <c r="F149" s="24">
        <f t="shared" si="3"/>
        <v>0</v>
      </c>
    </row>
    <row r="150" spans="2:6" x14ac:dyDescent="0.25">
      <c r="B150" s="1"/>
      <c r="C150" s="1"/>
      <c r="D150" s="1"/>
      <c r="E150" s="1"/>
      <c r="F150" s="24">
        <f t="shared" si="3"/>
        <v>0</v>
      </c>
    </row>
    <row r="151" spans="2:6" x14ac:dyDescent="0.25">
      <c r="B151" s="1"/>
      <c r="C151" s="1"/>
      <c r="D151" s="1"/>
      <c r="E151" s="1"/>
      <c r="F151" s="24">
        <f t="shared" si="3"/>
        <v>0</v>
      </c>
    </row>
    <row r="152" spans="2:6" x14ac:dyDescent="0.25">
      <c r="B152" s="1"/>
      <c r="C152" s="1"/>
      <c r="D152" s="1"/>
      <c r="E152" s="1"/>
      <c r="F152" s="24">
        <f t="shared" si="3"/>
        <v>0</v>
      </c>
    </row>
    <row r="153" spans="2:6" x14ac:dyDescent="0.25">
      <c r="B153" s="1"/>
      <c r="C153" s="1"/>
      <c r="D153" s="1"/>
      <c r="E153" s="1"/>
      <c r="F153" s="24">
        <f t="shared" si="3"/>
        <v>0</v>
      </c>
    </row>
    <row r="154" spans="2:6" x14ac:dyDescent="0.25">
      <c r="B154" s="1"/>
      <c r="C154" s="1"/>
      <c r="D154" s="1"/>
      <c r="E154" s="1"/>
      <c r="F154" s="24">
        <f t="shared" si="3"/>
        <v>0</v>
      </c>
    </row>
    <row r="155" spans="2:6" x14ac:dyDescent="0.25">
      <c r="B155" s="10" t="s">
        <v>20</v>
      </c>
      <c r="C155" s="1"/>
      <c r="D155" s="1"/>
      <c r="E155" s="4">
        <f>SUM(E143:E154)</f>
        <v>243</v>
      </c>
      <c r="F155" s="22">
        <f>SUM(F143:F154)</f>
        <v>46.064604185623288</v>
      </c>
    </row>
    <row r="156" spans="2:6" x14ac:dyDescent="0.25">
      <c r="B156" s="4" t="s">
        <v>22</v>
      </c>
      <c r="C156" s="6"/>
      <c r="D156" s="6"/>
      <c r="E156" s="6"/>
      <c r="F156" s="23">
        <f>F141+F155</f>
        <v>61.30460418562329</v>
      </c>
    </row>
    <row r="157" spans="2:6" x14ac:dyDescent="0.25">
      <c r="B157" s="7"/>
      <c r="C157" s="7"/>
      <c r="D157" s="7"/>
      <c r="E157" s="7"/>
      <c r="F157" s="7"/>
    </row>
    <row r="158" spans="2:6" x14ac:dyDescent="0.25">
      <c r="B158" s="18"/>
      <c r="C158" s="18"/>
      <c r="D158" s="18"/>
      <c r="E158" s="18"/>
      <c r="F158" s="18"/>
    </row>
    <row r="159" spans="2:6" x14ac:dyDescent="0.25">
      <c r="B159" s="18"/>
      <c r="C159" s="18"/>
      <c r="D159" s="18"/>
      <c r="E159" s="18"/>
      <c r="F159" s="18"/>
    </row>
    <row r="160" spans="2:6" x14ac:dyDescent="0.25">
      <c r="B160" s="39" t="s">
        <v>23</v>
      </c>
      <c r="C160" s="38"/>
      <c r="D160" s="38"/>
      <c r="E160" s="39" t="s">
        <v>24</v>
      </c>
      <c r="F160" s="38"/>
    </row>
    <row r="162" spans="2:6" ht="27" customHeight="1" x14ac:dyDescent="0.25">
      <c r="B162" s="37" t="s">
        <v>231</v>
      </c>
      <c r="C162" s="37"/>
      <c r="D162" s="37"/>
      <c r="E162" s="37"/>
      <c r="F162" s="37"/>
    </row>
    <row r="163" spans="2:6" ht="27" customHeight="1" x14ac:dyDescent="0.25">
      <c r="B163" s="37" t="s">
        <v>1</v>
      </c>
      <c r="C163" s="37"/>
      <c r="D163" s="37"/>
      <c r="E163" s="37"/>
      <c r="F163" s="37"/>
    </row>
    <row r="164" spans="2:6" ht="16.899999999999999" customHeight="1" x14ac:dyDescent="0.25">
      <c r="B164" s="16" t="s">
        <v>0</v>
      </c>
      <c r="C164" s="16"/>
      <c r="D164" s="16"/>
      <c r="E164" s="16"/>
      <c r="F164" s="16"/>
    </row>
    <row r="165" spans="2:6" x14ac:dyDescent="0.25">
      <c r="B165" s="17"/>
      <c r="C165" s="38" t="s">
        <v>25</v>
      </c>
      <c r="D165" s="38"/>
      <c r="E165" s="17">
        <v>701.1</v>
      </c>
      <c r="F165" s="17" t="s">
        <v>26</v>
      </c>
    </row>
    <row r="167" spans="2:6" ht="60" x14ac:dyDescent="0.25">
      <c r="B167" s="1" t="s">
        <v>2</v>
      </c>
      <c r="C167" s="1" t="s">
        <v>4</v>
      </c>
      <c r="D167" s="1" t="s">
        <v>3</v>
      </c>
      <c r="E167" s="1" t="s">
        <v>447</v>
      </c>
      <c r="F167" s="1" t="s">
        <v>5</v>
      </c>
    </row>
    <row r="168" spans="2:6" x14ac:dyDescent="0.25">
      <c r="B168" s="1"/>
      <c r="C168" s="1"/>
      <c r="D168" s="1"/>
      <c r="E168" s="1"/>
      <c r="F168" s="1"/>
    </row>
    <row r="169" spans="2:6" x14ac:dyDescent="0.25">
      <c r="B169" s="3" t="s">
        <v>6</v>
      </c>
      <c r="C169" s="1"/>
      <c r="D169" s="1"/>
      <c r="E169" s="1"/>
      <c r="F169" s="1"/>
    </row>
    <row r="170" spans="2:6" x14ac:dyDescent="0.25">
      <c r="B170" s="5" t="s">
        <v>7</v>
      </c>
      <c r="C170" s="1"/>
      <c r="D170" s="1"/>
      <c r="E170" s="1"/>
      <c r="F170" s="5">
        <v>2.0099999999999998</v>
      </c>
    </row>
    <row r="171" spans="2:6" x14ac:dyDescent="0.25">
      <c r="B171" s="5" t="s">
        <v>8</v>
      </c>
      <c r="C171" s="1"/>
      <c r="D171" s="1"/>
      <c r="E171" s="1"/>
      <c r="F171" s="5">
        <v>5.34</v>
      </c>
    </row>
    <row r="172" spans="2:6" ht="24.75" x14ac:dyDescent="0.25">
      <c r="B172" s="5" t="s">
        <v>11</v>
      </c>
      <c r="C172" s="1"/>
      <c r="D172" s="1"/>
      <c r="E172" s="1"/>
      <c r="F172" s="5">
        <v>0.55000000000000004</v>
      </c>
    </row>
    <row r="173" spans="2:6" ht="24.75" x14ac:dyDescent="0.25">
      <c r="B173" s="5" t="s">
        <v>12</v>
      </c>
      <c r="C173" s="1"/>
      <c r="D173" s="1"/>
      <c r="E173" s="1"/>
      <c r="F173" s="5">
        <v>0.53</v>
      </c>
    </row>
    <row r="174" spans="2:6" ht="24.75" x14ac:dyDescent="0.25">
      <c r="B174" s="5" t="s">
        <v>13</v>
      </c>
      <c r="C174" s="1"/>
      <c r="D174" s="1"/>
      <c r="E174" s="1"/>
      <c r="F174" s="5">
        <v>0.19</v>
      </c>
    </row>
    <row r="175" spans="2:6" ht="24.75" x14ac:dyDescent="0.25">
      <c r="B175" s="5" t="s">
        <v>9</v>
      </c>
      <c r="C175" s="1"/>
      <c r="D175" s="1"/>
      <c r="E175" s="1"/>
      <c r="F175" s="5">
        <v>0.26</v>
      </c>
    </row>
    <row r="176" spans="2:6" ht="24.75" x14ac:dyDescent="0.25">
      <c r="B176" s="5" t="s">
        <v>15</v>
      </c>
      <c r="C176" s="1"/>
      <c r="D176" s="1"/>
      <c r="E176" s="1"/>
      <c r="F176" s="5">
        <v>0.27</v>
      </c>
    </row>
    <row r="177" spans="2:6" ht="24.75" x14ac:dyDescent="0.25">
      <c r="B177" s="5" t="s">
        <v>16</v>
      </c>
      <c r="C177" s="1"/>
      <c r="D177" s="1"/>
      <c r="E177" s="1"/>
      <c r="F177" s="5">
        <v>0.28999999999999998</v>
      </c>
    </row>
    <row r="178" spans="2:6" x14ac:dyDescent="0.25">
      <c r="B178" s="5" t="s">
        <v>17</v>
      </c>
      <c r="C178" s="1"/>
      <c r="D178" s="1"/>
      <c r="E178" s="1"/>
      <c r="F178" s="5">
        <v>0.32</v>
      </c>
    </row>
    <row r="179" spans="2:6" x14ac:dyDescent="0.25">
      <c r="B179" s="5" t="s">
        <v>18</v>
      </c>
      <c r="C179" s="1"/>
      <c r="D179" s="1"/>
      <c r="E179" s="1"/>
      <c r="F179" s="5">
        <v>1.97</v>
      </c>
    </row>
    <row r="180" spans="2:6" x14ac:dyDescent="0.25">
      <c r="B180" s="5" t="s">
        <v>19</v>
      </c>
      <c r="C180" s="1"/>
      <c r="D180" s="1"/>
      <c r="E180" s="1"/>
      <c r="F180" s="5">
        <v>3.51</v>
      </c>
    </row>
    <row r="181" spans="2:6" x14ac:dyDescent="0.25">
      <c r="B181" s="10" t="s">
        <v>20</v>
      </c>
      <c r="C181" s="1"/>
      <c r="D181" s="1"/>
      <c r="E181" s="1"/>
      <c r="F181" s="4">
        <f>SUM(F170:F180)</f>
        <v>15.239999999999998</v>
      </c>
    </row>
    <row r="182" spans="2:6" x14ac:dyDescent="0.25">
      <c r="B182" s="3" t="s">
        <v>21</v>
      </c>
      <c r="C182" s="1"/>
      <c r="D182" s="1"/>
      <c r="E182" s="1"/>
      <c r="F182" s="1"/>
    </row>
    <row r="183" spans="2:6" x14ac:dyDescent="0.25">
      <c r="B183" s="15" t="s">
        <v>252</v>
      </c>
      <c r="C183" s="1" t="s">
        <v>256</v>
      </c>
      <c r="D183" s="1">
        <v>2</v>
      </c>
      <c r="E183" s="1">
        <v>80</v>
      </c>
      <c r="F183" s="24">
        <f>E183/701.1*1000/12</f>
        <v>9.5088670184947457</v>
      </c>
    </row>
    <row r="184" spans="2:6" x14ac:dyDescent="0.25">
      <c r="B184" s="15" t="s">
        <v>285</v>
      </c>
      <c r="C184" s="1" t="s">
        <v>265</v>
      </c>
      <c r="D184" s="1">
        <v>1</v>
      </c>
      <c r="E184" s="1">
        <v>15</v>
      </c>
      <c r="F184" s="24">
        <f t="shared" ref="F184:F194" si="4">E184/701.1*1000/12</f>
        <v>1.7829125659677647</v>
      </c>
    </row>
    <row r="185" spans="2:6" x14ac:dyDescent="0.25">
      <c r="B185" s="15" t="s">
        <v>253</v>
      </c>
      <c r="C185" s="1" t="s">
        <v>26</v>
      </c>
      <c r="D185" s="1">
        <v>89</v>
      </c>
      <c r="E185" s="1">
        <v>65</v>
      </c>
      <c r="F185" s="24">
        <f t="shared" si="4"/>
        <v>7.725954452526981</v>
      </c>
    </row>
    <row r="186" spans="2:6" x14ac:dyDescent="0.25">
      <c r="B186" s="15" t="s">
        <v>254</v>
      </c>
      <c r="C186" s="1" t="s">
        <v>26</v>
      </c>
      <c r="D186" s="1">
        <v>80</v>
      </c>
      <c r="E186" s="1">
        <v>50</v>
      </c>
      <c r="F186" s="24">
        <f t="shared" si="4"/>
        <v>5.9430418865592172</v>
      </c>
    </row>
    <row r="187" spans="2:6" x14ac:dyDescent="0.25">
      <c r="B187" s="15" t="s">
        <v>257</v>
      </c>
      <c r="C187" s="1" t="s">
        <v>26</v>
      </c>
      <c r="D187" s="1">
        <v>20</v>
      </c>
      <c r="E187" s="1">
        <v>25</v>
      </c>
      <c r="F187" s="24">
        <f t="shared" si="4"/>
        <v>2.9715209432796086</v>
      </c>
    </row>
    <row r="188" spans="2:6" x14ac:dyDescent="0.25">
      <c r="B188" s="15" t="s">
        <v>260</v>
      </c>
      <c r="C188" s="1" t="s">
        <v>256</v>
      </c>
      <c r="D188" s="1">
        <v>2</v>
      </c>
      <c r="E188" s="1">
        <v>110</v>
      </c>
      <c r="F188" s="24">
        <f t="shared" si="4"/>
        <v>13.074692150430275</v>
      </c>
    </row>
    <row r="189" spans="2:6" x14ac:dyDescent="0.25">
      <c r="B189" s="1"/>
      <c r="C189" s="1"/>
      <c r="D189" s="1"/>
      <c r="E189" s="1"/>
      <c r="F189" s="24">
        <f t="shared" si="4"/>
        <v>0</v>
      </c>
    </row>
    <row r="190" spans="2:6" x14ac:dyDescent="0.25">
      <c r="B190" s="1"/>
      <c r="C190" s="1"/>
      <c r="D190" s="1"/>
      <c r="E190" s="1"/>
      <c r="F190" s="24">
        <f t="shared" si="4"/>
        <v>0</v>
      </c>
    </row>
    <row r="191" spans="2:6" x14ac:dyDescent="0.25">
      <c r="B191" s="1"/>
      <c r="C191" s="1"/>
      <c r="D191" s="1"/>
      <c r="E191" s="1"/>
      <c r="F191" s="24">
        <f t="shared" si="4"/>
        <v>0</v>
      </c>
    </row>
    <row r="192" spans="2:6" x14ac:dyDescent="0.25">
      <c r="B192" s="1"/>
      <c r="C192" s="1"/>
      <c r="D192" s="1"/>
      <c r="E192" s="1"/>
      <c r="F192" s="24">
        <f t="shared" si="4"/>
        <v>0</v>
      </c>
    </row>
    <row r="193" spans="2:6" x14ac:dyDescent="0.25">
      <c r="B193" s="1"/>
      <c r="C193" s="1"/>
      <c r="D193" s="1"/>
      <c r="E193" s="1"/>
      <c r="F193" s="24">
        <f t="shared" si="4"/>
        <v>0</v>
      </c>
    </row>
    <row r="194" spans="2:6" x14ac:dyDescent="0.25">
      <c r="B194" s="1"/>
      <c r="C194" s="1"/>
      <c r="D194" s="1"/>
      <c r="E194" s="1"/>
      <c r="F194" s="24">
        <f t="shared" si="4"/>
        <v>0</v>
      </c>
    </row>
    <row r="195" spans="2:6" x14ac:dyDescent="0.25">
      <c r="B195" s="10" t="s">
        <v>20</v>
      </c>
      <c r="C195" s="1"/>
      <c r="D195" s="1"/>
      <c r="E195" s="4">
        <f>SUM(E183:E194)</f>
        <v>345</v>
      </c>
      <c r="F195" s="22">
        <f>SUM(F183:F194)</f>
        <v>41.00698901725859</v>
      </c>
    </row>
    <row r="196" spans="2:6" x14ac:dyDescent="0.25">
      <c r="B196" s="4" t="s">
        <v>22</v>
      </c>
      <c r="C196" s="6"/>
      <c r="D196" s="6"/>
      <c r="E196" s="6"/>
      <c r="F196" s="23">
        <f>F181+F195</f>
        <v>56.246989017258585</v>
      </c>
    </row>
    <row r="197" spans="2:6" x14ac:dyDescent="0.25">
      <c r="B197" s="7"/>
      <c r="C197" s="7"/>
      <c r="D197" s="7"/>
      <c r="E197" s="7"/>
      <c r="F197" s="7"/>
    </row>
    <row r="198" spans="2:6" x14ac:dyDescent="0.25">
      <c r="B198" s="18"/>
      <c r="C198" s="18"/>
      <c r="D198" s="18"/>
      <c r="E198" s="18"/>
      <c r="F198" s="18"/>
    </row>
    <row r="199" spans="2:6" x14ac:dyDescent="0.25">
      <c r="B199" s="18"/>
      <c r="C199" s="18"/>
      <c r="D199" s="18"/>
      <c r="E199" s="18"/>
      <c r="F199" s="18"/>
    </row>
    <row r="200" spans="2:6" x14ac:dyDescent="0.25">
      <c r="B200" s="39" t="s">
        <v>23</v>
      </c>
      <c r="C200" s="38"/>
      <c r="D200" s="38"/>
      <c r="E200" s="39" t="s">
        <v>24</v>
      </c>
      <c r="F200" s="38"/>
    </row>
    <row r="202" spans="2:6" ht="34.15" customHeight="1" x14ac:dyDescent="0.25">
      <c r="B202" s="37" t="s">
        <v>232</v>
      </c>
      <c r="C202" s="37"/>
      <c r="D202" s="37"/>
      <c r="E202" s="37"/>
      <c r="F202" s="37"/>
    </row>
    <row r="203" spans="2:6" ht="31.9" customHeight="1" x14ac:dyDescent="0.25">
      <c r="B203" s="37" t="s">
        <v>1</v>
      </c>
      <c r="C203" s="37"/>
      <c r="D203" s="37"/>
      <c r="E203" s="37"/>
      <c r="F203" s="37"/>
    </row>
    <row r="204" spans="2:6" x14ac:dyDescent="0.25">
      <c r="B204" s="16" t="s">
        <v>0</v>
      </c>
      <c r="C204" s="16"/>
      <c r="D204" s="16"/>
      <c r="E204" s="16"/>
      <c r="F204" s="16"/>
    </row>
    <row r="205" spans="2:6" x14ac:dyDescent="0.25">
      <c r="B205" s="17"/>
      <c r="C205" s="38" t="s">
        <v>25</v>
      </c>
      <c r="D205" s="38"/>
      <c r="E205" s="17">
        <v>381.1</v>
      </c>
      <c r="F205" s="17" t="s">
        <v>26</v>
      </c>
    </row>
    <row r="207" spans="2:6" ht="60" x14ac:dyDescent="0.25">
      <c r="B207" s="1" t="s">
        <v>2</v>
      </c>
      <c r="C207" s="1" t="s">
        <v>4</v>
      </c>
      <c r="D207" s="1" t="s">
        <v>3</v>
      </c>
      <c r="E207" s="1" t="s">
        <v>447</v>
      </c>
      <c r="F207" s="1" t="s">
        <v>5</v>
      </c>
    </row>
    <row r="208" spans="2:6" x14ac:dyDescent="0.25">
      <c r="B208" s="1"/>
      <c r="C208" s="1"/>
      <c r="D208" s="1"/>
      <c r="E208" s="1"/>
      <c r="F208" s="1"/>
    </row>
    <row r="209" spans="2:6" x14ac:dyDescent="0.25">
      <c r="B209" s="3" t="s">
        <v>6</v>
      </c>
      <c r="C209" s="1"/>
      <c r="D209" s="1"/>
      <c r="E209" s="1"/>
      <c r="F209" s="1"/>
    </row>
    <row r="210" spans="2:6" x14ac:dyDescent="0.25">
      <c r="B210" s="5" t="s">
        <v>7</v>
      </c>
      <c r="C210" s="1"/>
      <c r="D210" s="1"/>
      <c r="E210" s="1"/>
      <c r="F210" s="5">
        <v>2.0099999999999998</v>
      </c>
    </row>
    <row r="211" spans="2:6" x14ac:dyDescent="0.25">
      <c r="B211" s="5" t="s">
        <v>8</v>
      </c>
      <c r="C211" s="1"/>
      <c r="D211" s="1"/>
      <c r="E211" s="1"/>
      <c r="F211" s="5">
        <v>5.34</v>
      </c>
    </row>
    <row r="212" spans="2:6" ht="24.75" x14ac:dyDescent="0.25">
      <c r="B212" s="5" t="s">
        <v>11</v>
      </c>
      <c r="C212" s="1"/>
      <c r="D212" s="1"/>
      <c r="E212" s="1"/>
      <c r="F212" s="5">
        <v>0.55000000000000004</v>
      </c>
    </row>
    <row r="213" spans="2:6" ht="24.75" x14ac:dyDescent="0.25">
      <c r="B213" s="5" t="s">
        <v>12</v>
      </c>
      <c r="C213" s="1"/>
      <c r="D213" s="1"/>
      <c r="E213" s="1"/>
      <c r="F213" s="5">
        <v>0.53</v>
      </c>
    </row>
    <row r="214" spans="2:6" ht="24.75" x14ac:dyDescent="0.25">
      <c r="B214" s="5" t="s">
        <v>13</v>
      </c>
      <c r="C214" s="1"/>
      <c r="D214" s="1"/>
      <c r="E214" s="1"/>
      <c r="F214" s="5">
        <v>0.19</v>
      </c>
    </row>
    <row r="215" spans="2:6" ht="24.75" x14ac:dyDescent="0.25">
      <c r="B215" s="5" t="s">
        <v>9</v>
      </c>
      <c r="C215" s="1"/>
      <c r="D215" s="1"/>
      <c r="E215" s="1"/>
      <c r="F215" s="5">
        <v>0.26</v>
      </c>
    </row>
    <row r="216" spans="2:6" ht="24.75" x14ac:dyDescent="0.25">
      <c r="B216" s="5" t="s">
        <v>15</v>
      </c>
      <c r="C216" s="1"/>
      <c r="D216" s="1"/>
      <c r="E216" s="1"/>
      <c r="F216" s="5">
        <v>0.27</v>
      </c>
    </row>
    <row r="217" spans="2:6" ht="24.75" x14ac:dyDescent="0.25">
      <c r="B217" s="5" t="s">
        <v>16</v>
      </c>
      <c r="C217" s="1"/>
      <c r="D217" s="1"/>
      <c r="E217" s="1"/>
      <c r="F217" s="5">
        <v>0.28999999999999998</v>
      </c>
    </row>
    <row r="218" spans="2:6" x14ac:dyDescent="0.25">
      <c r="B218" s="5" t="s">
        <v>17</v>
      </c>
      <c r="C218" s="1"/>
      <c r="D218" s="1"/>
      <c r="E218" s="1"/>
      <c r="F218" s="5">
        <v>0.32</v>
      </c>
    </row>
    <row r="219" spans="2:6" x14ac:dyDescent="0.25">
      <c r="B219" s="5" t="s">
        <v>18</v>
      </c>
      <c r="C219" s="1"/>
      <c r="D219" s="1"/>
      <c r="E219" s="1"/>
      <c r="F219" s="5">
        <v>1.97</v>
      </c>
    </row>
    <row r="220" spans="2:6" x14ac:dyDescent="0.25">
      <c r="B220" s="5" t="s">
        <v>19</v>
      </c>
      <c r="C220" s="1"/>
      <c r="D220" s="1"/>
      <c r="E220" s="1"/>
      <c r="F220" s="5">
        <v>3.51</v>
      </c>
    </row>
    <row r="221" spans="2:6" x14ac:dyDescent="0.25">
      <c r="B221" s="10" t="s">
        <v>20</v>
      </c>
      <c r="C221" s="1"/>
      <c r="D221" s="1"/>
      <c r="E221" s="1"/>
      <c r="F221" s="4">
        <f>SUM(F210:F220)</f>
        <v>15.239999999999998</v>
      </c>
    </row>
    <row r="222" spans="2:6" x14ac:dyDescent="0.25">
      <c r="B222" s="3" t="s">
        <v>21</v>
      </c>
      <c r="C222" s="1"/>
      <c r="D222" s="1"/>
      <c r="E222" s="1"/>
      <c r="F222" s="1"/>
    </row>
    <row r="223" spans="2:6" x14ac:dyDescent="0.25">
      <c r="B223" s="15" t="s">
        <v>252</v>
      </c>
      <c r="C223" s="1" t="s">
        <v>256</v>
      </c>
      <c r="D223" s="1">
        <v>1</v>
      </c>
      <c r="E223" s="1">
        <v>40</v>
      </c>
      <c r="F223" s="24">
        <f>E223/381.1*1000/12</f>
        <v>8.7466106883582615</v>
      </c>
    </row>
    <row r="224" spans="2:6" x14ac:dyDescent="0.25">
      <c r="B224" s="15" t="s">
        <v>264</v>
      </c>
      <c r="C224" s="1" t="s">
        <v>265</v>
      </c>
      <c r="D224" s="1">
        <v>1</v>
      </c>
      <c r="E224" s="1">
        <v>15</v>
      </c>
      <c r="F224" s="24">
        <f t="shared" ref="F224:F234" si="5">E224/381.1*1000/12</f>
        <v>3.2799790081343478</v>
      </c>
    </row>
    <row r="225" spans="2:6" x14ac:dyDescent="0.25">
      <c r="B225" s="15" t="s">
        <v>253</v>
      </c>
      <c r="C225" s="1" t="s">
        <v>26</v>
      </c>
      <c r="D225" s="1">
        <v>78</v>
      </c>
      <c r="E225" s="1">
        <v>55</v>
      </c>
      <c r="F225" s="24">
        <f t="shared" si="5"/>
        <v>12.026589696492609</v>
      </c>
    </row>
    <row r="226" spans="2:6" x14ac:dyDescent="0.25">
      <c r="B226" s="15" t="s">
        <v>254</v>
      </c>
      <c r="C226" s="1" t="s">
        <v>26</v>
      </c>
      <c r="D226" s="1">
        <v>50</v>
      </c>
      <c r="E226" s="1">
        <v>30</v>
      </c>
      <c r="F226" s="24">
        <f t="shared" si="5"/>
        <v>6.5599580162686957</v>
      </c>
    </row>
    <row r="227" spans="2:6" x14ac:dyDescent="0.25">
      <c r="B227" s="15" t="s">
        <v>257</v>
      </c>
      <c r="C227" s="1" t="s">
        <v>26</v>
      </c>
      <c r="D227" s="1">
        <v>340</v>
      </c>
      <c r="E227" s="1">
        <v>408</v>
      </c>
      <c r="F227" s="24">
        <f t="shared" si="5"/>
        <v>89.215429021254252</v>
      </c>
    </row>
    <row r="228" spans="2:6" x14ac:dyDescent="0.25">
      <c r="B228" s="1"/>
      <c r="C228" s="1"/>
      <c r="D228" s="1"/>
      <c r="E228" s="1"/>
      <c r="F228" s="24">
        <f t="shared" si="5"/>
        <v>0</v>
      </c>
    </row>
    <row r="229" spans="2:6" x14ac:dyDescent="0.25">
      <c r="B229" s="1"/>
      <c r="C229" s="1"/>
      <c r="D229" s="1"/>
      <c r="E229" s="1"/>
      <c r="F229" s="24">
        <f t="shared" si="5"/>
        <v>0</v>
      </c>
    </row>
    <row r="230" spans="2:6" x14ac:dyDescent="0.25">
      <c r="B230" s="1"/>
      <c r="C230" s="1"/>
      <c r="D230" s="1"/>
      <c r="E230" s="1"/>
      <c r="F230" s="24">
        <f t="shared" si="5"/>
        <v>0</v>
      </c>
    </row>
    <row r="231" spans="2:6" x14ac:dyDescent="0.25">
      <c r="B231" s="1"/>
      <c r="C231" s="1"/>
      <c r="D231" s="1"/>
      <c r="E231" s="1"/>
      <c r="F231" s="24">
        <f t="shared" si="5"/>
        <v>0</v>
      </c>
    </row>
    <row r="232" spans="2:6" x14ac:dyDescent="0.25">
      <c r="B232" s="1"/>
      <c r="C232" s="1"/>
      <c r="D232" s="1"/>
      <c r="E232" s="1"/>
      <c r="F232" s="24">
        <f t="shared" si="5"/>
        <v>0</v>
      </c>
    </row>
    <row r="233" spans="2:6" x14ac:dyDescent="0.25">
      <c r="B233" s="1"/>
      <c r="C233" s="1"/>
      <c r="D233" s="1"/>
      <c r="E233" s="1"/>
      <c r="F233" s="24">
        <f t="shared" si="5"/>
        <v>0</v>
      </c>
    </row>
    <row r="234" spans="2:6" x14ac:dyDescent="0.25">
      <c r="B234" s="1"/>
      <c r="C234" s="1"/>
      <c r="D234" s="1"/>
      <c r="E234" s="1"/>
      <c r="F234" s="24">
        <f t="shared" si="5"/>
        <v>0</v>
      </c>
    </row>
    <row r="235" spans="2:6" x14ac:dyDescent="0.25">
      <c r="B235" s="10" t="s">
        <v>20</v>
      </c>
      <c r="C235" s="1"/>
      <c r="D235" s="1"/>
      <c r="E235" s="4">
        <f>SUM(E223:E234)</f>
        <v>548</v>
      </c>
      <c r="F235" s="22">
        <f>SUM(F223:F234)</f>
        <v>119.82856643050816</v>
      </c>
    </row>
    <row r="236" spans="2:6" x14ac:dyDescent="0.25">
      <c r="B236" s="4" t="s">
        <v>22</v>
      </c>
      <c r="C236" s="6"/>
      <c r="D236" s="6"/>
      <c r="E236" s="6"/>
      <c r="F236" s="23">
        <f>F221+F235</f>
        <v>135.06856643050816</v>
      </c>
    </row>
    <row r="237" spans="2:6" x14ac:dyDescent="0.25">
      <c r="B237" s="7"/>
      <c r="C237" s="7"/>
      <c r="D237" s="7"/>
      <c r="E237" s="7"/>
      <c r="F237" s="7"/>
    </row>
    <row r="238" spans="2:6" x14ac:dyDescent="0.25">
      <c r="B238" s="18"/>
      <c r="C238" s="18"/>
      <c r="D238" s="18"/>
      <c r="E238" s="18"/>
      <c r="F238" s="18"/>
    </row>
    <row r="239" spans="2:6" x14ac:dyDescent="0.25">
      <c r="B239" s="18"/>
      <c r="C239" s="18"/>
      <c r="D239" s="18"/>
      <c r="E239" s="18"/>
      <c r="F239" s="18"/>
    </row>
    <row r="240" spans="2:6" x14ac:dyDescent="0.25">
      <c r="B240" s="39" t="s">
        <v>23</v>
      </c>
      <c r="C240" s="38"/>
      <c r="D240" s="38"/>
      <c r="E240" s="39" t="s">
        <v>24</v>
      </c>
      <c r="F240" s="38"/>
    </row>
    <row r="242" spans="2:6" ht="31.9" customHeight="1" x14ac:dyDescent="0.25">
      <c r="B242" s="37" t="s">
        <v>233</v>
      </c>
      <c r="C242" s="37"/>
      <c r="D242" s="37"/>
      <c r="E242" s="37"/>
      <c r="F242" s="37"/>
    </row>
    <row r="243" spans="2:6" ht="25.9" customHeight="1" x14ac:dyDescent="0.25">
      <c r="B243" s="37" t="s">
        <v>1</v>
      </c>
      <c r="C243" s="37"/>
      <c r="D243" s="37"/>
      <c r="E243" s="37"/>
      <c r="F243" s="37"/>
    </row>
    <row r="244" spans="2:6" x14ac:dyDescent="0.25">
      <c r="B244" s="16" t="s">
        <v>0</v>
      </c>
      <c r="C244" s="16"/>
      <c r="D244" s="16"/>
      <c r="E244" s="16"/>
      <c r="F244" s="16"/>
    </row>
    <row r="245" spans="2:6" x14ac:dyDescent="0.25">
      <c r="B245" s="17"/>
      <c r="C245" s="38" t="s">
        <v>25</v>
      </c>
      <c r="D245" s="38"/>
      <c r="E245" s="17">
        <v>1506.6</v>
      </c>
      <c r="F245" s="17" t="s">
        <v>26</v>
      </c>
    </row>
    <row r="247" spans="2:6" ht="60" x14ac:dyDescent="0.25">
      <c r="B247" s="1" t="s">
        <v>2</v>
      </c>
      <c r="C247" s="1" t="s">
        <v>4</v>
      </c>
      <c r="D247" s="1" t="s">
        <v>3</v>
      </c>
      <c r="E247" s="1" t="s">
        <v>447</v>
      </c>
      <c r="F247" s="1" t="s">
        <v>5</v>
      </c>
    </row>
    <row r="248" spans="2:6" x14ac:dyDescent="0.25">
      <c r="B248" s="1"/>
      <c r="C248" s="1"/>
      <c r="D248" s="1"/>
      <c r="E248" s="1"/>
      <c r="F248" s="1"/>
    </row>
    <row r="249" spans="2:6" x14ac:dyDescent="0.25">
      <c r="B249" s="3" t="s">
        <v>6</v>
      </c>
      <c r="C249" s="1"/>
      <c r="D249" s="1"/>
      <c r="E249" s="1"/>
      <c r="F249" s="1"/>
    </row>
    <row r="250" spans="2:6" x14ac:dyDescent="0.25">
      <c r="B250" s="5" t="s">
        <v>7</v>
      </c>
      <c r="C250" s="1"/>
      <c r="D250" s="1"/>
      <c r="E250" s="1"/>
      <c r="F250" s="5">
        <v>2.0099999999999998</v>
      </c>
    </row>
    <row r="251" spans="2:6" x14ac:dyDescent="0.25">
      <c r="B251" s="5" t="s">
        <v>8</v>
      </c>
      <c r="C251" s="1"/>
      <c r="D251" s="1"/>
      <c r="E251" s="1"/>
      <c r="F251" s="5">
        <v>5.34</v>
      </c>
    </row>
    <row r="252" spans="2:6" x14ac:dyDescent="0.25">
      <c r="B252" s="15" t="s">
        <v>30</v>
      </c>
      <c r="C252" s="1"/>
      <c r="D252" s="1"/>
      <c r="E252" s="1"/>
      <c r="F252" s="5">
        <v>0.06</v>
      </c>
    </row>
    <row r="253" spans="2:6" ht="24.75" x14ac:dyDescent="0.25">
      <c r="B253" s="5" t="s">
        <v>11</v>
      </c>
      <c r="C253" s="1"/>
      <c r="D253" s="1"/>
      <c r="E253" s="1"/>
      <c r="F253" s="5">
        <v>0.55000000000000004</v>
      </c>
    </row>
    <row r="254" spans="2:6" ht="24.75" x14ac:dyDescent="0.25">
      <c r="B254" s="5" t="s">
        <v>12</v>
      </c>
      <c r="C254" s="1"/>
      <c r="D254" s="1"/>
      <c r="E254" s="1"/>
      <c r="F254" s="5">
        <v>0.53</v>
      </c>
    </row>
    <row r="255" spans="2:6" ht="24.75" x14ac:dyDescent="0.25">
      <c r="B255" s="5" t="s">
        <v>13</v>
      </c>
      <c r="C255" s="1"/>
      <c r="D255" s="1"/>
      <c r="E255" s="1"/>
      <c r="F255" s="5">
        <v>0.19</v>
      </c>
    </row>
    <row r="256" spans="2:6" ht="24.75" x14ac:dyDescent="0.25">
      <c r="B256" s="5" t="s">
        <v>9</v>
      </c>
      <c r="C256" s="1"/>
      <c r="D256" s="1"/>
      <c r="E256" s="1"/>
      <c r="F256" s="5">
        <v>0.26</v>
      </c>
    </row>
    <row r="257" spans="2:6" ht="24.75" x14ac:dyDescent="0.25">
      <c r="B257" s="5" t="s">
        <v>15</v>
      </c>
      <c r="C257" s="1"/>
      <c r="D257" s="1"/>
      <c r="E257" s="1"/>
      <c r="F257" s="5">
        <v>0.27</v>
      </c>
    </row>
    <row r="258" spans="2:6" ht="24.75" x14ac:dyDescent="0.25">
      <c r="B258" s="5" t="s">
        <v>16</v>
      </c>
      <c r="C258" s="1"/>
      <c r="D258" s="1"/>
      <c r="E258" s="1"/>
      <c r="F258" s="5">
        <v>0.28999999999999998</v>
      </c>
    </row>
    <row r="259" spans="2:6" x14ac:dyDescent="0.25">
      <c r="B259" s="5" t="s">
        <v>17</v>
      </c>
      <c r="C259" s="1"/>
      <c r="D259" s="1"/>
      <c r="E259" s="1"/>
      <c r="F259" s="5">
        <v>0.32</v>
      </c>
    </row>
    <row r="260" spans="2:6" x14ac:dyDescent="0.25">
      <c r="B260" s="5" t="s">
        <v>18</v>
      </c>
      <c r="C260" s="1"/>
      <c r="D260" s="1"/>
      <c r="E260" s="1"/>
      <c r="F260" s="5">
        <v>1.97</v>
      </c>
    </row>
    <row r="261" spans="2:6" x14ac:dyDescent="0.25">
      <c r="B261" s="5" t="s">
        <v>19</v>
      </c>
      <c r="C261" s="1"/>
      <c r="D261" s="1"/>
      <c r="E261" s="1"/>
      <c r="F261" s="5">
        <v>3.51</v>
      </c>
    </row>
    <row r="262" spans="2:6" x14ac:dyDescent="0.25">
      <c r="B262" s="10" t="s">
        <v>20</v>
      </c>
      <c r="C262" s="1"/>
      <c r="D262" s="1"/>
      <c r="E262" s="1"/>
      <c r="F262" s="22">
        <f>SUM(F250:F261)</f>
        <v>15.299999999999997</v>
      </c>
    </row>
    <row r="263" spans="2:6" x14ac:dyDescent="0.25">
      <c r="B263" s="3" t="s">
        <v>21</v>
      </c>
      <c r="C263" s="1"/>
      <c r="D263" s="1"/>
      <c r="E263" s="1"/>
      <c r="F263" s="1"/>
    </row>
    <row r="264" spans="2:6" x14ac:dyDescent="0.25">
      <c r="B264" s="15" t="s">
        <v>252</v>
      </c>
      <c r="C264" s="1" t="s">
        <v>256</v>
      </c>
      <c r="D264" s="1">
        <v>1</v>
      </c>
      <c r="E264" s="1">
        <v>50</v>
      </c>
      <c r="F264" s="24">
        <f>E264/1506.6*1000/12</f>
        <v>2.7656090977476886</v>
      </c>
    </row>
    <row r="265" spans="2:6" x14ac:dyDescent="0.25">
      <c r="B265" s="15" t="s">
        <v>302</v>
      </c>
      <c r="C265" s="1" t="s">
        <v>26</v>
      </c>
      <c r="D265" s="1">
        <v>120</v>
      </c>
      <c r="E265" s="1">
        <v>132</v>
      </c>
      <c r="F265" s="24">
        <f t="shared" ref="F265:F275" si="6">E265/1506.6*1000/12</f>
        <v>7.3012080180538961</v>
      </c>
    </row>
    <row r="266" spans="2:6" x14ac:dyDescent="0.25">
      <c r="B266" s="15" t="s">
        <v>253</v>
      </c>
      <c r="C266" s="1" t="s">
        <v>26</v>
      </c>
      <c r="D266" s="1">
        <v>80</v>
      </c>
      <c r="E266" s="1">
        <v>56</v>
      </c>
      <c r="F266" s="24">
        <f t="shared" si="6"/>
        <v>3.0974821894774109</v>
      </c>
    </row>
    <row r="267" spans="2:6" x14ac:dyDescent="0.25">
      <c r="B267" s="15" t="s">
        <v>258</v>
      </c>
      <c r="C267" s="1" t="s">
        <v>261</v>
      </c>
      <c r="D267" s="1">
        <v>12</v>
      </c>
      <c r="E267" s="1">
        <v>16</v>
      </c>
      <c r="F267" s="24">
        <f t="shared" si="6"/>
        <v>0.88499491127926022</v>
      </c>
    </row>
    <row r="268" spans="2:6" x14ac:dyDescent="0.25">
      <c r="B268" s="15" t="s">
        <v>303</v>
      </c>
      <c r="C268" s="1" t="s">
        <v>26</v>
      </c>
      <c r="D268" s="1">
        <v>12</v>
      </c>
      <c r="E268" s="1">
        <v>24</v>
      </c>
      <c r="F268" s="24">
        <f t="shared" si="6"/>
        <v>1.3274923669188905</v>
      </c>
    </row>
    <row r="269" spans="2:6" x14ac:dyDescent="0.25">
      <c r="B269" s="1"/>
      <c r="C269" s="1"/>
      <c r="D269" s="1"/>
      <c r="E269" s="1"/>
      <c r="F269" s="24">
        <f t="shared" si="6"/>
        <v>0</v>
      </c>
    </row>
    <row r="270" spans="2:6" x14ac:dyDescent="0.25">
      <c r="B270" s="1"/>
      <c r="C270" s="1"/>
      <c r="D270" s="1"/>
      <c r="E270" s="1"/>
      <c r="F270" s="24">
        <f t="shared" si="6"/>
        <v>0</v>
      </c>
    </row>
    <row r="271" spans="2:6" x14ac:dyDescent="0.25">
      <c r="B271" s="1"/>
      <c r="C271" s="1"/>
      <c r="D271" s="1"/>
      <c r="E271" s="1"/>
      <c r="F271" s="24">
        <f t="shared" si="6"/>
        <v>0</v>
      </c>
    </row>
    <row r="272" spans="2:6" x14ac:dyDescent="0.25">
      <c r="B272" s="1"/>
      <c r="C272" s="1"/>
      <c r="D272" s="1"/>
      <c r="E272" s="1"/>
      <c r="F272" s="24">
        <f t="shared" si="6"/>
        <v>0</v>
      </c>
    </row>
    <row r="273" spans="2:6" x14ac:dyDescent="0.25">
      <c r="B273" s="1"/>
      <c r="C273" s="1"/>
      <c r="D273" s="1"/>
      <c r="E273" s="1"/>
      <c r="F273" s="24">
        <f t="shared" si="6"/>
        <v>0</v>
      </c>
    </row>
    <row r="274" spans="2:6" x14ac:dyDescent="0.25">
      <c r="B274" s="1"/>
      <c r="C274" s="1"/>
      <c r="D274" s="1"/>
      <c r="E274" s="1"/>
      <c r="F274" s="24">
        <f t="shared" si="6"/>
        <v>0</v>
      </c>
    </row>
    <row r="275" spans="2:6" x14ac:dyDescent="0.25">
      <c r="B275" s="1"/>
      <c r="C275" s="1"/>
      <c r="D275" s="1"/>
      <c r="E275" s="1"/>
      <c r="F275" s="24">
        <f t="shared" si="6"/>
        <v>0</v>
      </c>
    </row>
    <row r="276" spans="2:6" x14ac:dyDescent="0.25">
      <c r="B276" s="10" t="s">
        <v>20</v>
      </c>
      <c r="C276" s="1"/>
      <c r="D276" s="1"/>
      <c r="E276" s="4">
        <f>SUM(E264:E275)</f>
        <v>278</v>
      </c>
      <c r="F276" s="22">
        <f>SUM(F264:F275)</f>
        <v>15.376786583477147</v>
      </c>
    </row>
    <row r="277" spans="2:6" x14ac:dyDescent="0.25">
      <c r="B277" s="4" t="s">
        <v>22</v>
      </c>
      <c r="C277" s="6"/>
      <c r="D277" s="6"/>
      <c r="E277" s="6"/>
      <c r="F277" s="23">
        <f>F262+F276</f>
        <v>30.676786583477146</v>
      </c>
    </row>
    <row r="278" spans="2:6" x14ac:dyDescent="0.25">
      <c r="B278" s="7"/>
      <c r="C278" s="7"/>
      <c r="D278" s="7"/>
      <c r="E278" s="7"/>
      <c r="F278" s="7"/>
    </row>
    <row r="279" spans="2:6" x14ac:dyDescent="0.25">
      <c r="B279" s="18"/>
      <c r="C279" s="18"/>
      <c r="D279" s="18"/>
      <c r="E279" s="18"/>
      <c r="F279" s="18"/>
    </row>
    <row r="280" spans="2:6" x14ac:dyDescent="0.25">
      <c r="B280" s="18"/>
      <c r="C280" s="18"/>
      <c r="D280" s="18"/>
      <c r="E280" s="18"/>
      <c r="F280" s="18"/>
    </row>
    <row r="281" spans="2:6" x14ac:dyDescent="0.25">
      <c r="B281" s="39" t="s">
        <v>23</v>
      </c>
      <c r="C281" s="38"/>
      <c r="D281" s="38"/>
      <c r="E281" s="39" t="s">
        <v>24</v>
      </c>
      <c r="F281" s="38"/>
    </row>
    <row r="283" spans="2:6" ht="28.9" customHeight="1" x14ac:dyDescent="0.25">
      <c r="B283" s="37" t="s">
        <v>234</v>
      </c>
      <c r="C283" s="37"/>
      <c r="D283" s="37"/>
      <c r="E283" s="37"/>
      <c r="F283" s="37"/>
    </row>
    <row r="284" spans="2:6" ht="35.450000000000003" customHeight="1" x14ac:dyDescent="0.25">
      <c r="B284" s="37" t="s">
        <v>1</v>
      </c>
      <c r="C284" s="37"/>
      <c r="D284" s="37"/>
      <c r="E284" s="37"/>
      <c r="F284" s="37"/>
    </row>
    <row r="285" spans="2:6" x14ac:dyDescent="0.25">
      <c r="B285" s="16" t="s">
        <v>0</v>
      </c>
      <c r="C285" s="16"/>
      <c r="D285" s="16"/>
      <c r="E285" s="16"/>
      <c r="F285" s="16"/>
    </row>
    <row r="286" spans="2:6" x14ac:dyDescent="0.25">
      <c r="B286" s="17"/>
      <c r="C286" s="38" t="s">
        <v>25</v>
      </c>
      <c r="D286" s="38"/>
      <c r="E286" s="17">
        <v>139.30000000000001</v>
      </c>
      <c r="F286" s="17" t="s">
        <v>26</v>
      </c>
    </row>
    <row r="288" spans="2:6" ht="60" x14ac:dyDescent="0.25">
      <c r="B288" s="1" t="s">
        <v>2</v>
      </c>
      <c r="C288" s="1" t="s">
        <v>4</v>
      </c>
      <c r="D288" s="1" t="s">
        <v>3</v>
      </c>
      <c r="E288" s="1" t="s">
        <v>447</v>
      </c>
      <c r="F288" s="1" t="s">
        <v>5</v>
      </c>
    </row>
    <row r="289" spans="2:6" x14ac:dyDescent="0.25">
      <c r="B289" s="1"/>
      <c r="C289" s="1"/>
      <c r="D289" s="1"/>
      <c r="E289" s="1"/>
      <c r="F289" s="1"/>
    </row>
    <row r="290" spans="2:6" x14ac:dyDescent="0.25">
      <c r="B290" s="3" t="s">
        <v>6</v>
      </c>
      <c r="C290" s="1"/>
      <c r="D290" s="1"/>
      <c r="E290" s="1"/>
      <c r="F290" s="1"/>
    </row>
    <row r="291" spans="2:6" x14ac:dyDescent="0.25">
      <c r="B291" s="5" t="s">
        <v>7</v>
      </c>
      <c r="C291" s="1"/>
      <c r="D291" s="1"/>
      <c r="E291" s="1"/>
      <c r="F291" s="5">
        <v>2.0099999999999998</v>
      </c>
    </row>
    <row r="292" spans="2:6" x14ac:dyDescent="0.25">
      <c r="B292" s="5" t="s">
        <v>8</v>
      </c>
      <c r="C292" s="1"/>
      <c r="D292" s="1"/>
      <c r="E292" s="1"/>
      <c r="F292" s="5">
        <v>5.34</v>
      </c>
    </row>
    <row r="293" spans="2:6" ht="24.75" x14ac:dyDescent="0.25">
      <c r="B293" s="5" t="s">
        <v>12</v>
      </c>
      <c r="C293" s="1"/>
      <c r="D293" s="1"/>
      <c r="E293" s="1"/>
      <c r="F293" s="5">
        <v>0.53</v>
      </c>
    </row>
    <row r="294" spans="2:6" ht="24.75" x14ac:dyDescent="0.25">
      <c r="B294" s="5" t="s">
        <v>13</v>
      </c>
      <c r="C294" s="1"/>
      <c r="D294" s="1"/>
      <c r="E294" s="1"/>
      <c r="F294" s="5">
        <v>0.19</v>
      </c>
    </row>
    <row r="295" spans="2:6" ht="24.75" x14ac:dyDescent="0.25">
      <c r="B295" s="5" t="s">
        <v>9</v>
      </c>
      <c r="C295" s="1"/>
      <c r="D295" s="1"/>
      <c r="E295" s="1"/>
      <c r="F295" s="5">
        <v>0.26</v>
      </c>
    </row>
    <row r="296" spans="2:6" ht="24.75" x14ac:dyDescent="0.25">
      <c r="B296" s="5" t="s">
        <v>15</v>
      </c>
      <c r="C296" s="1"/>
      <c r="D296" s="1"/>
      <c r="E296" s="1"/>
      <c r="F296" s="5">
        <v>0.27</v>
      </c>
    </row>
    <row r="297" spans="2:6" ht="24.75" x14ac:dyDescent="0.25">
      <c r="B297" s="5" t="s">
        <v>16</v>
      </c>
      <c r="C297" s="1"/>
      <c r="D297" s="1"/>
      <c r="E297" s="1"/>
      <c r="F297" s="5">
        <v>0.28999999999999998</v>
      </c>
    </row>
    <row r="298" spans="2:6" x14ac:dyDescent="0.25">
      <c r="B298" s="5" t="s">
        <v>17</v>
      </c>
      <c r="C298" s="1"/>
      <c r="D298" s="1"/>
      <c r="E298" s="1"/>
      <c r="F298" s="5">
        <v>0.32</v>
      </c>
    </row>
    <row r="299" spans="2:6" x14ac:dyDescent="0.25">
      <c r="B299" s="5" t="s">
        <v>18</v>
      </c>
      <c r="C299" s="1"/>
      <c r="D299" s="1"/>
      <c r="E299" s="1"/>
      <c r="F299" s="5">
        <v>1.97</v>
      </c>
    </row>
    <row r="300" spans="2:6" x14ac:dyDescent="0.25">
      <c r="B300" s="5" t="s">
        <v>19</v>
      </c>
      <c r="C300" s="1"/>
      <c r="D300" s="1"/>
      <c r="E300" s="1"/>
      <c r="F300" s="5">
        <v>2.56</v>
      </c>
    </row>
    <row r="301" spans="2:6" x14ac:dyDescent="0.25">
      <c r="B301" s="10" t="s">
        <v>20</v>
      </c>
      <c r="C301" s="1"/>
      <c r="D301" s="1"/>
      <c r="E301" s="1"/>
      <c r="F301" s="22">
        <f>SUM(F291:F300)</f>
        <v>13.74</v>
      </c>
    </row>
    <row r="302" spans="2:6" x14ac:dyDescent="0.25">
      <c r="B302" s="3" t="s">
        <v>21</v>
      </c>
      <c r="C302" s="1"/>
      <c r="D302" s="1"/>
      <c r="E302" s="1"/>
      <c r="F302" s="1"/>
    </row>
    <row r="303" spans="2:6" x14ac:dyDescent="0.25">
      <c r="B303" s="26" t="s">
        <v>304</v>
      </c>
      <c r="C303" s="1" t="s">
        <v>261</v>
      </c>
      <c r="D303" s="1">
        <v>60</v>
      </c>
      <c r="E303" s="1">
        <v>57</v>
      </c>
      <c r="F303" s="24">
        <f>E303/139.3*1000/12</f>
        <v>34.099066762383345</v>
      </c>
    </row>
    <row r="304" spans="2:6" x14ac:dyDescent="0.25">
      <c r="B304" s="1"/>
      <c r="C304" s="1"/>
      <c r="D304" s="1"/>
      <c r="E304" s="1"/>
      <c r="F304" s="24">
        <f t="shared" ref="F304:F314" si="7">E304/139.3*1000/12</f>
        <v>0</v>
      </c>
    </row>
    <row r="305" spans="2:6" x14ac:dyDescent="0.25">
      <c r="B305" s="1"/>
      <c r="C305" s="1"/>
      <c r="D305" s="1"/>
      <c r="E305" s="1"/>
      <c r="F305" s="24">
        <f t="shared" si="7"/>
        <v>0</v>
      </c>
    </row>
    <row r="306" spans="2:6" x14ac:dyDescent="0.25">
      <c r="B306" s="1"/>
      <c r="C306" s="1"/>
      <c r="D306" s="1"/>
      <c r="E306" s="1"/>
      <c r="F306" s="24">
        <f t="shared" si="7"/>
        <v>0</v>
      </c>
    </row>
    <row r="307" spans="2:6" x14ac:dyDescent="0.25">
      <c r="B307" s="1"/>
      <c r="C307" s="1"/>
      <c r="D307" s="1"/>
      <c r="E307" s="1"/>
      <c r="F307" s="24">
        <f t="shared" si="7"/>
        <v>0</v>
      </c>
    </row>
    <row r="308" spans="2:6" x14ac:dyDescent="0.25">
      <c r="B308" s="1"/>
      <c r="C308" s="1"/>
      <c r="D308" s="1"/>
      <c r="E308" s="1"/>
      <c r="F308" s="24">
        <f t="shared" si="7"/>
        <v>0</v>
      </c>
    </row>
    <row r="309" spans="2:6" x14ac:dyDescent="0.25">
      <c r="B309" s="1"/>
      <c r="C309" s="1"/>
      <c r="D309" s="1"/>
      <c r="E309" s="1"/>
      <c r="F309" s="24">
        <f t="shared" si="7"/>
        <v>0</v>
      </c>
    </row>
    <row r="310" spans="2:6" x14ac:dyDescent="0.25">
      <c r="B310" s="1"/>
      <c r="C310" s="1"/>
      <c r="D310" s="1"/>
      <c r="E310" s="1"/>
      <c r="F310" s="24">
        <f t="shared" si="7"/>
        <v>0</v>
      </c>
    </row>
    <row r="311" spans="2:6" x14ac:dyDescent="0.25">
      <c r="B311" s="1"/>
      <c r="C311" s="1"/>
      <c r="D311" s="1"/>
      <c r="E311" s="1"/>
      <c r="F311" s="24">
        <f t="shared" si="7"/>
        <v>0</v>
      </c>
    </row>
    <row r="312" spans="2:6" x14ac:dyDescent="0.25">
      <c r="B312" s="1"/>
      <c r="C312" s="1"/>
      <c r="D312" s="1"/>
      <c r="E312" s="1"/>
      <c r="F312" s="24">
        <f t="shared" si="7"/>
        <v>0</v>
      </c>
    </row>
    <row r="313" spans="2:6" x14ac:dyDescent="0.25">
      <c r="B313" s="1"/>
      <c r="C313" s="1"/>
      <c r="D313" s="1"/>
      <c r="E313" s="1"/>
      <c r="F313" s="24">
        <f t="shared" si="7"/>
        <v>0</v>
      </c>
    </row>
    <row r="314" spans="2:6" x14ac:dyDescent="0.25">
      <c r="B314" s="1"/>
      <c r="C314" s="1"/>
      <c r="D314" s="1"/>
      <c r="E314" s="1"/>
      <c r="F314" s="24">
        <f t="shared" si="7"/>
        <v>0</v>
      </c>
    </row>
    <row r="315" spans="2:6" x14ac:dyDescent="0.25">
      <c r="B315" s="10" t="s">
        <v>20</v>
      </c>
      <c r="C315" s="1"/>
      <c r="D315" s="1"/>
      <c r="E315" s="4">
        <f>SUM(E303:E314)</f>
        <v>57</v>
      </c>
      <c r="F315" s="22">
        <f>SUM(F303:F314)</f>
        <v>34.099066762383345</v>
      </c>
    </row>
    <row r="316" spans="2:6" x14ac:dyDescent="0.25">
      <c r="B316" s="4" t="s">
        <v>22</v>
      </c>
      <c r="C316" s="6"/>
      <c r="D316" s="6"/>
      <c r="E316" s="6"/>
      <c r="F316" s="23">
        <f>F301+F315</f>
        <v>47.839066762383347</v>
      </c>
    </row>
    <row r="317" spans="2:6" x14ac:dyDescent="0.25">
      <c r="B317" s="7"/>
      <c r="C317" s="7"/>
      <c r="D317" s="7"/>
      <c r="E317" s="7"/>
      <c r="F317" s="7"/>
    </row>
    <row r="318" spans="2:6" x14ac:dyDescent="0.25">
      <c r="B318" s="18"/>
      <c r="C318" s="18"/>
      <c r="D318" s="18"/>
      <c r="E318" s="18"/>
      <c r="F318" s="18"/>
    </row>
    <row r="319" spans="2:6" x14ac:dyDescent="0.25">
      <c r="B319" s="18"/>
      <c r="C319" s="18"/>
      <c r="D319" s="18"/>
      <c r="E319" s="18"/>
      <c r="F319" s="18"/>
    </row>
    <row r="320" spans="2:6" x14ac:dyDescent="0.25">
      <c r="B320" s="39" t="s">
        <v>23</v>
      </c>
      <c r="C320" s="38"/>
      <c r="D320" s="38"/>
      <c r="E320" s="39" t="s">
        <v>24</v>
      </c>
      <c r="F320" s="38"/>
    </row>
    <row r="322" spans="2:6" ht="26.45" customHeight="1" x14ac:dyDescent="0.25">
      <c r="B322" s="37" t="s">
        <v>235</v>
      </c>
      <c r="C322" s="37"/>
      <c r="D322" s="37"/>
      <c r="E322" s="37"/>
      <c r="F322" s="37"/>
    </row>
    <row r="323" spans="2:6" ht="31.9" customHeight="1" x14ac:dyDescent="0.25">
      <c r="B323" s="37" t="s">
        <v>1</v>
      </c>
      <c r="C323" s="37"/>
      <c r="D323" s="37"/>
      <c r="E323" s="37"/>
      <c r="F323" s="37"/>
    </row>
    <row r="324" spans="2:6" x14ac:dyDescent="0.25">
      <c r="B324" s="16" t="s">
        <v>0</v>
      </c>
      <c r="C324" s="16"/>
      <c r="D324" s="16"/>
      <c r="E324" s="16"/>
      <c r="F324" s="16"/>
    </row>
    <row r="325" spans="2:6" x14ac:dyDescent="0.25">
      <c r="B325" s="17"/>
      <c r="C325" s="38" t="s">
        <v>25</v>
      </c>
      <c r="D325" s="38"/>
      <c r="E325" s="17">
        <v>901.5</v>
      </c>
      <c r="F325" s="17" t="s">
        <v>26</v>
      </c>
    </row>
    <row r="327" spans="2:6" ht="60" x14ac:dyDescent="0.25">
      <c r="B327" s="1" t="s">
        <v>2</v>
      </c>
      <c r="C327" s="1" t="s">
        <v>4</v>
      </c>
      <c r="D327" s="1" t="s">
        <v>3</v>
      </c>
      <c r="E327" s="1" t="s">
        <v>447</v>
      </c>
      <c r="F327" s="1" t="s">
        <v>5</v>
      </c>
    </row>
    <row r="328" spans="2:6" x14ac:dyDescent="0.25">
      <c r="B328" s="1"/>
      <c r="C328" s="1"/>
      <c r="D328" s="1"/>
      <c r="E328" s="1"/>
      <c r="F328" s="1"/>
    </row>
    <row r="329" spans="2:6" x14ac:dyDescent="0.25">
      <c r="B329" s="3" t="s">
        <v>6</v>
      </c>
      <c r="C329" s="1"/>
      <c r="D329" s="1"/>
      <c r="E329" s="1"/>
      <c r="F329" s="1"/>
    </row>
    <row r="330" spans="2:6" x14ac:dyDescent="0.25">
      <c r="B330" s="5" t="s">
        <v>7</v>
      </c>
      <c r="C330" s="1"/>
      <c r="D330" s="1"/>
      <c r="E330" s="1"/>
      <c r="F330" s="5">
        <v>2.0099999999999998</v>
      </c>
    </row>
    <row r="331" spans="2:6" x14ac:dyDescent="0.25">
      <c r="B331" s="5" t="s">
        <v>8</v>
      </c>
      <c r="C331" s="1"/>
      <c r="D331" s="1"/>
      <c r="E331" s="1"/>
      <c r="F331" s="5">
        <v>5.34</v>
      </c>
    </row>
    <row r="332" spans="2:6" ht="24.75" x14ac:dyDescent="0.25">
      <c r="B332" s="5" t="s">
        <v>11</v>
      </c>
      <c r="C332" s="1"/>
      <c r="D332" s="1"/>
      <c r="E332" s="1"/>
      <c r="F332" s="5">
        <v>0.55000000000000004</v>
      </c>
    </row>
    <row r="333" spans="2:6" ht="24.75" x14ac:dyDescent="0.25">
      <c r="B333" s="5" t="s">
        <v>12</v>
      </c>
      <c r="C333" s="1"/>
      <c r="D333" s="1"/>
      <c r="E333" s="1"/>
      <c r="F333" s="5">
        <v>0.51</v>
      </c>
    </row>
    <row r="334" spans="2:6" ht="24.75" x14ac:dyDescent="0.25">
      <c r="B334" s="5" t="s">
        <v>13</v>
      </c>
      <c r="C334" s="1"/>
      <c r="D334" s="1"/>
      <c r="E334" s="1"/>
      <c r="F334" s="5">
        <v>0.19</v>
      </c>
    </row>
    <row r="335" spans="2:6" ht="24.75" x14ac:dyDescent="0.25">
      <c r="B335" s="5" t="s">
        <v>9</v>
      </c>
      <c r="C335" s="1"/>
      <c r="D335" s="1"/>
      <c r="E335" s="1"/>
      <c r="F335" s="5">
        <v>0.26</v>
      </c>
    </row>
    <row r="336" spans="2:6" ht="24.75" x14ac:dyDescent="0.25">
      <c r="B336" s="5" t="s">
        <v>15</v>
      </c>
      <c r="C336" s="1"/>
      <c r="D336" s="1"/>
      <c r="E336" s="1"/>
      <c r="F336" s="5">
        <v>0.27</v>
      </c>
    </row>
    <row r="337" spans="2:6" ht="24.75" x14ac:dyDescent="0.25">
      <c r="B337" s="5" t="s">
        <v>16</v>
      </c>
      <c r="C337" s="1"/>
      <c r="D337" s="1"/>
      <c r="E337" s="1"/>
      <c r="F337" s="5">
        <v>0.28999999999999998</v>
      </c>
    </row>
    <row r="338" spans="2:6" x14ac:dyDescent="0.25">
      <c r="B338" s="5" t="s">
        <v>17</v>
      </c>
      <c r="C338" s="1"/>
      <c r="D338" s="1"/>
      <c r="E338" s="1"/>
      <c r="F338" s="5">
        <v>0.32</v>
      </c>
    </row>
    <row r="339" spans="2:6" x14ac:dyDescent="0.25">
      <c r="B339" s="5" t="s">
        <v>18</v>
      </c>
      <c r="C339" s="1"/>
      <c r="D339" s="1"/>
      <c r="E339" s="1"/>
      <c r="F339" s="5">
        <v>1.97</v>
      </c>
    </row>
    <row r="340" spans="2:6" x14ac:dyDescent="0.25">
      <c r="B340" s="5" t="s">
        <v>19</v>
      </c>
      <c r="C340" s="1"/>
      <c r="D340" s="1"/>
      <c r="E340" s="1"/>
      <c r="F340" s="5">
        <v>3.51</v>
      </c>
    </row>
    <row r="341" spans="2:6" x14ac:dyDescent="0.25">
      <c r="B341" s="10" t="s">
        <v>20</v>
      </c>
      <c r="C341" s="1"/>
      <c r="D341" s="1"/>
      <c r="E341" s="1"/>
      <c r="F341" s="22">
        <f>SUM(F330:F340)</f>
        <v>15.219999999999999</v>
      </c>
    </row>
    <row r="342" spans="2:6" x14ac:dyDescent="0.25">
      <c r="B342" s="3" t="s">
        <v>21</v>
      </c>
      <c r="C342" s="1"/>
      <c r="D342" s="1"/>
      <c r="E342" s="1"/>
      <c r="F342" s="1"/>
    </row>
    <row r="343" spans="2:6" x14ac:dyDescent="0.25">
      <c r="B343" s="15" t="s">
        <v>252</v>
      </c>
      <c r="C343" s="1" t="s">
        <v>256</v>
      </c>
      <c r="D343" s="1">
        <v>3</v>
      </c>
      <c r="E343" s="1">
        <v>120</v>
      </c>
      <c r="F343" s="24">
        <f>E343/901.5*1000/12</f>
        <v>11.092623405435384</v>
      </c>
    </row>
    <row r="344" spans="2:6" x14ac:dyDescent="0.25">
      <c r="B344" s="15" t="s">
        <v>253</v>
      </c>
      <c r="C344" s="1" t="s">
        <v>26</v>
      </c>
      <c r="D344" s="1">
        <v>112</v>
      </c>
      <c r="E344" s="1">
        <v>80</v>
      </c>
      <c r="F344" s="24">
        <f t="shared" ref="F344:F354" si="8">E344/901.5*1000/12</f>
        <v>7.3950822702902572</v>
      </c>
    </row>
    <row r="345" spans="2:6" x14ac:dyDescent="0.25">
      <c r="B345" s="1"/>
      <c r="C345" s="1"/>
      <c r="D345" s="1"/>
      <c r="E345" s="1"/>
      <c r="F345" s="24">
        <f t="shared" si="8"/>
        <v>0</v>
      </c>
    </row>
    <row r="346" spans="2:6" x14ac:dyDescent="0.25">
      <c r="B346" s="1"/>
      <c r="C346" s="1"/>
      <c r="D346" s="1"/>
      <c r="E346" s="1"/>
      <c r="F346" s="24">
        <f t="shared" si="8"/>
        <v>0</v>
      </c>
    </row>
    <row r="347" spans="2:6" x14ac:dyDescent="0.25">
      <c r="B347" s="1"/>
      <c r="C347" s="1"/>
      <c r="D347" s="1"/>
      <c r="E347" s="1"/>
      <c r="F347" s="24">
        <f t="shared" si="8"/>
        <v>0</v>
      </c>
    </row>
    <row r="348" spans="2:6" x14ac:dyDescent="0.25">
      <c r="B348" s="1"/>
      <c r="C348" s="1"/>
      <c r="D348" s="1"/>
      <c r="E348" s="1"/>
      <c r="F348" s="24">
        <f t="shared" si="8"/>
        <v>0</v>
      </c>
    </row>
    <row r="349" spans="2:6" x14ac:dyDescent="0.25">
      <c r="B349" s="1"/>
      <c r="C349" s="1"/>
      <c r="D349" s="1"/>
      <c r="E349" s="1"/>
      <c r="F349" s="24">
        <f t="shared" si="8"/>
        <v>0</v>
      </c>
    </row>
    <row r="350" spans="2:6" x14ac:dyDescent="0.25">
      <c r="B350" s="1"/>
      <c r="C350" s="1"/>
      <c r="D350" s="1"/>
      <c r="E350" s="1"/>
      <c r="F350" s="24">
        <f t="shared" si="8"/>
        <v>0</v>
      </c>
    </row>
    <row r="351" spans="2:6" x14ac:dyDescent="0.25">
      <c r="B351" s="1"/>
      <c r="C351" s="1"/>
      <c r="D351" s="1"/>
      <c r="E351" s="1"/>
      <c r="F351" s="24">
        <f t="shared" si="8"/>
        <v>0</v>
      </c>
    </row>
    <row r="352" spans="2:6" x14ac:dyDescent="0.25">
      <c r="B352" s="1"/>
      <c r="C352" s="1"/>
      <c r="D352" s="1"/>
      <c r="E352" s="1"/>
      <c r="F352" s="24">
        <f t="shared" si="8"/>
        <v>0</v>
      </c>
    </row>
    <row r="353" spans="2:6" x14ac:dyDescent="0.25">
      <c r="B353" s="1"/>
      <c r="C353" s="1"/>
      <c r="D353" s="1"/>
      <c r="E353" s="1"/>
      <c r="F353" s="24">
        <f t="shared" si="8"/>
        <v>0</v>
      </c>
    </row>
    <row r="354" spans="2:6" x14ac:dyDescent="0.25">
      <c r="B354" s="1"/>
      <c r="C354" s="1"/>
      <c r="D354" s="1"/>
      <c r="E354" s="1"/>
      <c r="F354" s="24">
        <f t="shared" si="8"/>
        <v>0</v>
      </c>
    </row>
    <row r="355" spans="2:6" x14ac:dyDescent="0.25">
      <c r="B355" s="10" t="s">
        <v>20</v>
      </c>
      <c r="C355" s="1"/>
      <c r="D355" s="1"/>
      <c r="E355" s="4">
        <f>SUM(E343:E354)</f>
        <v>200</v>
      </c>
      <c r="F355" s="22">
        <f>SUM(F343:F354)</f>
        <v>18.487705675725643</v>
      </c>
    </row>
    <row r="356" spans="2:6" x14ac:dyDescent="0.25">
      <c r="B356" s="4" t="s">
        <v>22</v>
      </c>
      <c r="C356" s="6"/>
      <c r="D356" s="6"/>
      <c r="E356" s="6"/>
      <c r="F356" s="23">
        <f>F341+F355</f>
        <v>33.707705675725641</v>
      </c>
    </row>
    <row r="357" spans="2:6" x14ac:dyDescent="0.25">
      <c r="B357" s="7"/>
      <c r="C357" s="7"/>
      <c r="D357" s="7"/>
      <c r="E357" s="7"/>
      <c r="F357" s="7"/>
    </row>
    <row r="358" spans="2:6" x14ac:dyDescent="0.25">
      <c r="B358" s="18"/>
      <c r="C358" s="18"/>
      <c r="D358" s="18"/>
      <c r="E358" s="18"/>
      <c r="F358" s="18"/>
    </row>
    <row r="359" spans="2:6" x14ac:dyDescent="0.25">
      <c r="B359" s="18"/>
      <c r="C359" s="18"/>
      <c r="D359" s="18"/>
      <c r="E359" s="18"/>
      <c r="F359" s="18"/>
    </row>
    <row r="360" spans="2:6" x14ac:dyDescent="0.25">
      <c r="B360" s="39" t="s">
        <v>23</v>
      </c>
      <c r="C360" s="38"/>
      <c r="D360" s="38"/>
      <c r="E360" s="39" t="s">
        <v>24</v>
      </c>
      <c r="F360" s="38"/>
    </row>
    <row r="362" spans="2:6" ht="28.9" customHeight="1" x14ac:dyDescent="0.25">
      <c r="B362" s="37" t="s">
        <v>236</v>
      </c>
      <c r="C362" s="37"/>
      <c r="D362" s="37"/>
      <c r="E362" s="37"/>
      <c r="F362" s="37"/>
    </row>
    <row r="363" spans="2:6" ht="31.15" customHeight="1" x14ac:dyDescent="0.25">
      <c r="B363" s="37" t="s">
        <v>1</v>
      </c>
      <c r="C363" s="37"/>
      <c r="D363" s="37"/>
      <c r="E363" s="37"/>
      <c r="F363" s="37"/>
    </row>
    <row r="364" spans="2:6" x14ac:dyDescent="0.25">
      <c r="B364" s="19" t="s">
        <v>0</v>
      </c>
      <c r="C364" s="19"/>
      <c r="D364" s="19"/>
      <c r="E364" s="19"/>
      <c r="F364" s="19"/>
    </row>
    <row r="365" spans="2:6" x14ac:dyDescent="0.25">
      <c r="B365" s="21"/>
      <c r="C365" s="38" t="s">
        <v>25</v>
      </c>
      <c r="D365" s="38"/>
      <c r="E365" s="21">
        <v>552.4</v>
      </c>
      <c r="F365" s="21" t="s">
        <v>26</v>
      </c>
    </row>
    <row r="367" spans="2:6" ht="60" x14ac:dyDescent="0.25">
      <c r="B367" s="1" t="s">
        <v>2</v>
      </c>
      <c r="C367" s="1" t="s">
        <v>4</v>
      </c>
      <c r="D367" s="1" t="s">
        <v>3</v>
      </c>
      <c r="E367" s="1" t="s">
        <v>447</v>
      </c>
      <c r="F367" s="1" t="s">
        <v>5</v>
      </c>
    </row>
    <row r="368" spans="2:6" x14ac:dyDescent="0.25">
      <c r="B368" s="1"/>
      <c r="C368" s="1"/>
      <c r="D368" s="1"/>
      <c r="E368" s="1"/>
      <c r="F368" s="1"/>
    </row>
    <row r="369" spans="2:6" x14ac:dyDescent="0.25">
      <c r="B369" s="3" t="s">
        <v>6</v>
      </c>
      <c r="C369" s="1"/>
      <c r="D369" s="1"/>
      <c r="E369" s="1"/>
      <c r="F369" s="1"/>
    </row>
    <row r="370" spans="2:6" x14ac:dyDescent="0.25">
      <c r="B370" s="5" t="s">
        <v>7</v>
      </c>
      <c r="C370" s="1"/>
      <c r="D370" s="1"/>
      <c r="E370" s="1"/>
      <c r="F370" s="5">
        <v>2.0099999999999998</v>
      </c>
    </row>
    <row r="371" spans="2:6" x14ac:dyDescent="0.25">
      <c r="B371" s="5" t="s">
        <v>8</v>
      </c>
      <c r="C371" s="1"/>
      <c r="D371" s="1"/>
      <c r="E371" s="1"/>
      <c r="F371" s="5">
        <v>5.34</v>
      </c>
    </row>
    <row r="372" spans="2:6" ht="24.75" x14ac:dyDescent="0.25">
      <c r="B372" s="5" t="s">
        <v>11</v>
      </c>
      <c r="C372" s="1"/>
      <c r="D372" s="1"/>
      <c r="E372" s="1"/>
      <c r="F372" s="5">
        <v>0.55000000000000004</v>
      </c>
    </row>
    <row r="373" spans="2:6" ht="24.75" x14ac:dyDescent="0.25">
      <c r="B373" s="5" t="s">
        <v>12</v>
      </c>
      <c r="C373" s="1"/>
      <c r="D373" s="1"/>
      <c r="E373" s="1"/>
      <c r="F373" s="5">
        <v>0.53</v>
      </c>
    </row>
    <row r="374" spans="2:6" ht="24.75" x14ac:dyDescent="0.25">
      <c r="B374" s="5" t="s">
        <v>13</v>
      </c>
      <c r="C374" s="1"/>
      <c r="D374" s="1"/>
      <c r="E374" s="1"/>
      <c r="F374" s="5">
        <v>0.19</v>
      </c>
    </row>
    <row r="375" spans="2:6" ht="24.75" x14ac:dyDescent="0.25">
      <c r="B375" s="5" t="s">
        <v>9</v>
      </c>
      <c r="C375" s="1"/>
      <c r="D375" s="1"/>
      <c r="E375" s="1"/>
      <c r="F375" s="5">
        <v>0.26</v>
      </c>
    </row>
    <row r="376" spans="2:6" ht="24.75" x14ac:dyDescent="0.25">
      <c r="B376" s="5" t="s">
        <v>15</v>
      </c>
      <c r="C376" s="1"/>
      <c r="D376" s="1"/>
      <c r="E376" s="1"/>
      <c r="F376" s="5">
        <v>0.27</v>
      </c>
    </row>
    <row r="377" spans="2:6" ht="24.75" x14ac:dyDescent="0.25">
      <c r="B377" s="5" t="s">
        <v>16</v>
      </c>
      <c r="C377" s="1"/>
      <c r="D377" s="1"/>
      <c r="E377" s="1"/>
      <c r="F377" s="5">
        <v>0.28999999999999998</v>
      </c>
    </row>
    <row r="378" spans="2:6" x14ac:dyDescent="0.25">
      <c r="B378" s="5" t="s">
        <v>17</v>
      </c>
      <c r="C378" s="1"/>
      <c r="D378" s="1"/>
      <c r="E378" s="1"/>
      <c r="F378" s="5">
        <v>0.32</v>
      </c>
    </row>
    <row r="379" spans="2:6" x14ac:dyDescent="0.25">
      <c r="B379" s="5" t="s">
        <v>18</v>
      </c>
      <c r="C379" s="1"/>
      <c r="D379" s="1"/>
      <c r="E379" s="1"/>
      <c r="F379" s="5">
        <v>1.97</v>
      </c>
    </row>
    <row r="380" spans="2:6" x14ac:dyDescent="0.25">
      <c r="B380" s="5" t="s">
        <v>19</v>
      </c>
      <c r="C380" s="1"/>
      <c r="D380" s="1"/>
      <c r="E380" s="1"/>
      <c r="F380" s="5">
        <v>3.51</v>
      </c>
    </row>
    <row r="381" spans="2:6" x14ac:dyDescent="0.25">
      <c r="B381" s="10" t="s">
        <v>20</v>
      </c>
      <c r="C381" s="1"/>
      <c r="D381" s="1"/>
      <c r="E381" s="1"/>
      <c r="F381" s="22">
        <f>SUM(F370:F380)</f>
        <v>15.239999999999998</v>
      </c>
    </row>
    <row r="382" spans="2:6" x14ac:dyDescent="0.25">
      <c r="B382" s="3" t="s">
        <v>21</v>
      </c>
      <c r="C382" s="1"/>
      <c r="D382" s="1"/>
      <c r="E382" s="1"/>
      <c r="F382" s="1"/>
    </row>
    <row r="383" spans="2:6" x14ac:dyDescent="0.25">
      <c r="B383" s="15" t="s">
        <v>252</v>
      </c>
      <c r="C383" s="1" t="s">
        <v>256</v>
      </c>
      <c r="D383" s="1">
        <v>1</v>
      </c>
      <c r="E383" s="1">
        <v>50</v>
      </c>
      <c r="F383" s="24">
        <f>E383/552.4*1000/12</f>
        <v>7.5428433502293037</v>
      </c>
    </row>
    <row r="384" spans="2:6" x14ac:dyDescent="0.25">
      <c r="B384" s="15" t="s">
        <v>253</v>
      </c>
      <c r="C384" s="1" t="s">
        <v>26</v>
      </c>
      <c r="D384" s="1">
        <v>108</v>
      </c>
      <c r="E384" s="1">
        <v>80</v>
      </c>
      <c r="F384" s="24">
        <f t="shared" ref="F384:F394" si="9">E384/552.4*1000/12</f>
        <v>12.068549360366886</v>
      </c>
    </row>
    <row r="385" spans="2:6" x14ac:dyDescent="0.25">
      <c r="B385" s="15" t="s">
        <v>255</v>
      </c>
      <c r="C385" s="1" t="s">
        <v>26</v>
      </c>
      <c r="D385" s="1">
        <v>5</v>
      </c>
      <c r="E385" s="1">
        <v>12.5</v>
      </c>
      <c r="F385" s="24">
        <f t="shared" si="9"/>
        <v>1.8857108375573259</v>
      </c>
    </row>
    <row r="386" spans="2:6" x14ac:dyDescent="0.25">
      <c r="B386" s="15" t="s">
        <v>259</v>
      </c>
      <c r="C386" s="1" t="s">
        <v>26</v>
      </c>
      <c r="D386" s="1">
        <v>6</v>
      </c>
      <c r="E386" s="1">
        <v>12</v>
      </c>
      <c r="F386" s="24">
        <f t="shared" si="9"/>
        <v>1.8102824040550327</v>
      </c>
    </row>
    <row r="387" spans="2:6" x14ac:dyDescent="0.25">
      <c r="B387" s="15" t="s">
        <v>269</v>
      </c>
      <c r="C387" s="1" t="s">
        <v>261</v>
      </c>
      <c r="D387" s="1">
        <v>4</v>
      </c>
      <c r="E387" s="1">
        <v>20</v>
      </c>
      <c r="F387" s="24">
        <f t="shared" si="9"/>
        <v>3.0171373400917214</v>
      </c>
    </row>
    <row r="388" spans="2:6" x14ac:dyDescent="0.25">
      <c r="B388" s="1"/>
      <c r="C388" s="1"/>
      <c r="D388" s="1"/>
      <c r="E388" s="1"/>
      <c r="F388" s="24">
        <f t="shared" si="9"/>
        <v>0</v>
      </c>
    </row>
    <row r="389" spans="2:6" x14ac:dyDescent="0.25">
      <c r="B389" s="1"/>
      <c r="C389" s="1"/>
      <c r="D389" s="1"/>
      <c r="E389" s="1"/>
      <c r="F389" s="24">
        <f t="shared" si="9"/>
        <v>0</v>
      </c>
    </row>
    <row r="390" spans="2:6" x14ac:dyDescent="0.25">
      <c r="B390" s="1"/>
      <c r="C390" s="1"/>
      <c r="D390" s="1"/>
      <c r="E390" s="1"/>
      <c r="F390" s="24">
        <f t="shared" si="9"/>
        <v>0</v>
      </c>
    </row>
    <row r="391" spans="2:6" x14ac:dyDescent="0.25">
      <c r="B391" s="1"/>
      <c r="C391" s="1"/>
      <c r="D391" s="1"/>
      <c r="E391" s="1"/>
      <c r="F391" s="24">
        <f t="shared" si="9"/>
        <v>0</v>
      </c>
    </row>
    <row r="392" spans="2:6" x14ac:dyDescent="0.25">
      <c r="B392" s="1"/>
      <c r="C392" s="1"/>
      <c r="D392" s="1"/>
      <c r="E392" s="1"/>
      <c r="F392" s="24">
        <f t="shared" si="9"/>
        <v>0</v>
      </c>
    </row>
    <row r="393" spans="2:6" x14ac:dyDescent="0.25">
      <c r="B393" s="1"/>
      <c r="C393" s="1"/>
      <c r="D393" s="1"/>
      <c r="E393" s="1"/>
      <c r="F393" s="24">
        <f t="shared" si="9"/>
        <v>0</v>
      </c>
    </row>
    <row r="394" spans="2:6" x14ac:dyDescent="0.25">
      <c r="B394" s="1"/>
      <c r="C394" s="1"/>
      <c r="D394" s="1"/>
      <c r="E394" s="1"/>
      <c r="F394" s="24">
        <f t="shared" si="9"/>
        <v>0</v>
      </c>
    </row>
    <row r="395" spans="2:6" x14ac:dyDescent="0.25">
      <c r="B395" s="10" t="s">
        <v>20</v>
      </c>
      <c r="C395" s="1"/>
      <c r="D395" s="1"/>
      <c r="E395" s="4">
        <f>SUM(E383:E394)</f>
        <v>174.5</v>
      </c>
      <c r="F395" s="22">
        <f>SUM(F383:F394)</f>
        <v>26.32452329230027</v>
      </c>
    </row>
    <row r="396" spans="2:6" x14ac:dyDescent="0.25">
      <c r="B396" s="4" t="s">
        <v>22</v>
      </c>
      <c r="C396" s="6"/>
      <c r="D396" s="6"/>
      <c r="E396" s="6"/>
      <c r="F396" s="23">
        <f>F381+F395</f>
        <v>41.564523292300265</v>
      </c>
    </row>
    <row r="397" spans="2:6" x14ac:dyDescent="0.25">
      <c r="B397" s="7"/>
      <c r="C397" s="7"/>
      <c r="D397" s="7"/>
      <c r="E397" s="7"/>
      <c r="F397" s="7"/>
    </row>
    <row r="398" spans="2:6" x14ac:dyDescent="0.25">
      <c r="B398" s="20"/>
      <c r="C398" s="20"/>
      <c r="D398" s="20"/>
      <c r="E398" s="20"/>
      <c r="F398" s="20"/>
    </row>
    <row r="399" spans="2:6" x14ac:dyDescent="0.25">
      <c r="B399" s="20"/>
      <c r="C399" s="20"/>
      <c r="D399" s="20"/>
      <c r="E399" s="20"/>
      <c r="F399" s="20"/>
    </row>
    <row r="400" spans="2:6" x14ac:dyDescent="0.25">
      <c r="B400" s="39" t="s">
        <v>23</v>
      </c>
      <c r="C400" s="38"/>
      <c r="D400" s="38"/>
      <c r="E400" s="39" t="s">
        <v>24</v>
      </c>
      <c r="F400" s="38"/>
    </row>
    <row r="402" spans="2:6" ht="27.6" customHeight="1" x14ac:dyDescent="0.25">
      <c r="B402" s="37" t="s">
        <v>237</v>
      </c>
      <c r="C402" s="37"/>
      <c r="D402" s="37"/>
      <c r="E402" s="37"/>
      <c r="F402" s="37"/>
    </row>
    <row r="403" spans="2:6" ht="34.15" customHeight="1" x14ac:dyDescent="0.25">
      <c r="B403" s="37" t="s">
        <v>1</v>
      </c>
      <c r="C403" s="37"/>
      <c r="D403" s="37"/>
      <c r="E403" s="37"/>
      <c r="F403" s="37"/>
    </row>
    <row r="404" spans="2:6" x14ac:dyDescent="0.25">
      <c r="B404" s="19" t="s">
        <v>0</v>
      </c>
      <c r="C404" s="19"/>
      <c r="D404" s="19"/>
      <c r="E404" s="19"/>
      <c r="F404" s="19"/>
    </row>
    <row r="405" spans="2:6" x14ac:dyDescent="0.25">
      <c r="B405" s="21"/>
      <c r="C405" s="38" t="s">
        <v>25</v>
      </c>
      <c r="D405" s="38"/>
      <c r="E405" s="21">
        <v>375.3</v>
      </c>
      <c r="F405" s="21" t="s">
        <v>26</v>
      </c>
    </row>
    <row r="407" spans="2:6" ht="60" x14ac:dyDescent="0.25">
      <c r="B407" s="1" t="s">
        <v>2</v>
      </c>
      <c r="C407" s="1" t="s">
        <v>4</v>
      </c>
      <c r="D407" s="1" t="s">
        <v>3</v>
      </c>
      <c r="E407" s="1" t="s">
        <v>447</v>
      </c>
      <c r="F407" s="1" t="s">
        <v>5</v>
      </c>
    </row>
    <row r="408" spans="2:6" x14ac:dyDescent="0.25">
      <c r="B408" s="1"/>
      <c r="C408" s="1"/>
      <c r="D408" s="1"/>
      <c r="E408" s="1"/>
      <c r="F408" s="1"/>
    </row>
    <row r="409" spans="2:6" x14ac:dyDescent="0.25">
      <c r="B409" s="3" t="s">
        <v>6</v>
      </c>
      <c r="C409" s="1"/>
      <c r="D409" s="1"/>
      <c r="E409" s="1"/>
      <c r="F409" s="1"/>
    </row>
    <row r="410" spans="2:6" x14ac:dyDescent="0.25">
      <c r="B410" s="5" t="s">
        <v>7</v>
      </c>
      <c r="C410" s="1"/>
      <c r="D410" s="1"/>
      <c r="E410" s="1"/>
      <c r="F410" s="5">
        <v>2.0099999999999998</v>
      </c>
    </row>
    <row r="411" spans="2:6" x14ac:dyDescent="0.25">
      <c r="B411" s="5" t="s">
        <v>8</v>
      </c>
      <c r="C411" s="1"/>
      <c r="D411" s="1"/>
      <c r="E411" s="1"/>
      <c r="F411" s="5">
        <v>5.34</v>
      </c>
    </row>
    <row r="412" spans="2:6" ht="24.75" x14ac:dyDescent="0.25">
      <c r="B412" s="5" t="s">
        <v>11</v>
      </c>
      <c r="C412" s="1"/>
      <c r="D412" s="1"/>
      <c r="E412" s="1"/>
      <c r="F412" s="5">
        <v>0.55000000000000004</v>
      </c>
    </row>
    <row r="413" spans="2:6" ht="24.75" x14ac:dyDescent="0.25">
      <c r="B413" s="5" t="s">
        <v>12</v>
      </c>
      <c r="C413" s="1"/>
      <c r="D413" s="1"/>
      <c r="E413" s="1"/>
      <c r="F413" s="5">
        <v>0.53</v>
      </c>
    </row>
    <row r="414" spans="2:6" ht="24.75" x14ac:dyDescent="0.25">
      <c r="B414" s="5" t="s">
        <v>13</v>
      </c>
      <c r="C414" s="1"/>
      <c r="D414" s="1"/>
      <c r="E414" s="1"/>
      <c r="F414" s="5">
        <v>0.19</v>
      </c>
    </row>
    <row r="415" spans="2:6" ht="24.75" x14ac:dyDescent="0.25">
      <c r="B415" s="5" t="s">
        <v>9</v>
      </c>
      <c r="C415" s="1"/>
      <c r="D415" s="1"/>
      <c r="E415" s="1"/>
      <c r="F415" s="5">
        <v>0.26</v>
      </c>
    </row>
    <row r="416" spans="2:6" ht="24.75" x14ac:dyDescent="0.25">
      <c r="B416" s="5" t="s">
        <v>15</v>
      </c>
      <c r="C416" s="1"/>
      <c r="D416" s="1"/>
      <c r="E416" s="1"/>
      <c r="F416" s="5">
        <v>0.27</v>
      </c>
    </row>
    <row r="417" spans="2:6" ht="24.75" x14ac:dyDescent="0.25">
      <c r="B417" s="5" t="s">
        <v>16</v>
      </c>
      <c r="C417" s="1"/>
      <c r="D417" s="1"/>
      <c r="E417" s="1"/>
      <c r="F417" s="5">
        <v>0.28999999999999998</v>
      </c>
    </row>
    <row r="418" spans="2:6" x14ac:dyDescent="0.25">
      <c r="B418" s="5" t="s">
        <v>17</v>
      </c>
      <c r="C418" s="1"/>
      <c r="D418" s="1"/>
      <c r="E418" s="1"/>
      <c r="F418" s="5">
        <v>0.32</v>
      </c>
    </row>
    <row r="419" spans="2:6" x14ac:dyDescent="0.25">
      <c r="B419" s="5" t="s">
        <v>18</v>
      </c>
      <c r="C419" s="1"/>
      <c r="D419" s="1"/>
      <c r="E419" s="1"/>
      <c r="F419" s="5">
        <v>1.97</v>
      </c>
    </row>
    <row r="420" spans="2:6" x14ac:dyDescent="0.25">
      <c r="B420" s="5" t="s">
        <v>19</v>
      </c>
      <c r="C420" s="1"/>
      <c r="D420" s="1"/>
      <c r="E420" s="1"/>
      <c r="F420" s="5">
        <v>3.51</v>
      </c>
    </row>
    <row r="421" spans="2:6" x14ac:dyDescent="0.25">
      <c r="B421" s="10" t="s">
        <v>20</v>
      </c>
      <c r="C421" s="1"/>
      <c r="D421" s="1"/>
      <c r="E421" s="1"/>
      <c r="F421" s="22">
        <f>SUM(F410:F420)</f>
        <v>15.239999999999998</v>
      </c>
    </row>
    <row r="422" spans="2:6" x14ac:dyDescent="0.25">
      <c r="B422" s="3" t="s">
        <v>21</v>
      </c>
      <c r="C422" s="1"/>
      <c r="D422" s="1"/>
      <c r="E422" s="1"/>
      <c r="F422" s="1"/>
    </row>
    <row r="423" spans="2:6" x14ac:dyDescent="0.25">
      <c r="B423" s="15" t="s">
        <v>252</v>
      </c>
      <c r="C423" s="1" t="s">
        <v>256</v>
      </c>
      <c r="D423" s="1">
        <v>1</v>
      </c>
      <c r="E423" s="1">
        <v>40</v>
      </c>
      <c r="F423" s="24">
        <f>E423/375.3*1000/12</f>
        <v>8.8817834621191931</v>
      </c>
    </row>
    <row r="424" spans="2:6" x14ac:dyDescent="0.25">
      <c r="B424" s="15" t="s">
        <v>269</v>
      </c>
      <c r="C424" s="1" t="s">
        <v>261</v>
      </c>
      <c r="D424" s="1">
        <v>4</v>
      </c>
      <c r="E424" s="1">
        <v>20</v>
      </c>
      <c r="F424" s="24">
        <f t="shared" ref="F424:F434" si="10">E424/375.3*1000/12</f>
        <v>4.4408917310595966</v>
      </c>
    </row>
    <row r="425" spans="2:6" x14ac:dyDescent="0.25">
      <c r="B425" s="15" t="s">
        <v>276</v>
      </c>
      <c r="C425" s="1" t="s">
        <v>26</v>
      </c>
      <c r="D425" s="1">
        <v>300</v>
      </c>
      <c r="E425" s="1">
        <v>240</v>
      </c>
      <c r="F425" s="24">
        <f t="shared" si="10"/>
        <v>53.290700772715155</v>
      </c>
    </row>
    <row r="426" spans="2:6" x14ac:dyDescent="0.25">
      <c r="B426" s="15" t="s">
        <v>257</v>
      </c>
      <c r="C426" s="1" t="s">
        <v>26</v>
      </c>
      <c r="D426" s="1">
        <v>240</v>
      </c>
      <c r="E426" s="1">
        <v>288</v>
      </c>
      <c r="F426" s="24">
        <f t="shared" si="10"/>
        <v>63.948840927258196</v>
      </c>
    </row>
    <row r="427" spans="2:6" x14ac:dyDescent="0.25">
      <c r="B427" s="1"/>
      <c r="C427" s="1"/>
      <c r="D427" s="1"/>
      <c r="E427" s="1"/>
      <c r="F427" s="24">
        <f t="shared" si="10"/>
        <v>0</v>
      </c>
    </row>
    <row r="428" spans="2:6" x14ac:dyDescent="0.25">
      <c r="B428" s="1"/>
      <c r="C428" s="1"/>
      <c r="D428" s="1"/>
      <c r="E428" s="1"/>
      <c r="F428" s="24">
        <f t="shared" si="10"/>
        <v>0</v>
      </c>
    </row>
    <row r="429" spans="2:6" x14ac:dyDescent="0.25">
      <c r="B429" s="1"/>
      <c r="C429" s="1"/>
      <c r="D429" s="1"/>
      <c r="E429" s="1"/>
      <c r="F429" s="24">
        <f t="shared" si="10"/>
        <v>0</v>
      </c>
    </row>
    <row r="430" spans="2:6" x14ac:dyDescent="0.25">
      <c r="B430" s="1"/>
      <c r="C430" s="1"/>
      <c r="D430" s="1"/>
      <c r="E430" s="1"/>
      <c r="F430" s="24">
        <f t="shared" si="10"/>
        <v>0</v>
      </c>
    </row>
    <row r="431" spans="2:6" x14ac:dyDescent="0.25">
      <c r="B431" s="1"/>
      <c r="C431" s="1"/>
      <c r="D431" s="1"/>
      <c r="E431" s="1"/>
      <c r="F431" s="24">
        <f t="shared" si="10"/>
        <v>0</v>
      </c>
    </row>
    <row r="432" spans="2:6" x14ac:dyDescent="0.25">
      <c r="B432" s="1"/>
      <c r="C432" s="1"/>
      <c r="D432" s="1"/>
      <c r="E432" s="1"/>
      <c r="F432" s="24">
        <f t="shared" si="10"/>
        <v>0</v>
      </c>
    </row>
    <row r="433" spans="2:6" x14ac:dyDescent="0.25">
      <c r="B433" s="1"/>
      <c r="C433" s="1"/>
      <c r="D433" s="1"/>
      <c r="E433" s="1"/>
      <c r="F433" s="24">
        <f t="shared" si="10"/>
        <v>0</v>
      </c>
    </row>
    <row r="434" spans="2:6" x14ac:dyDescent="0.25">
      <c r="B434" s="1"/>
      <c r="C434" s="1"/>
      <c r="D434" s="1"/>
      <c r="E434" s="1"/>
      <c r="F434" s="24">
        <f t="shared" si="10"/>
        <v>0</v>
      </c>
    </row>
    <row r="435" spans="2:6" x14ac:dyDescent="0.25">
      <c r="B435" s="10" t="s">
        <v>20</v>
      </c>
      <c r="C435" s="1"/>
      <c r="D435" s="1"/>
      <c r="E435" s="4">
        <f>SUM(E423:E434)</f>
        <v>588</v>
      </c>
      <c r="F435" s="22">
        <f>SUM(F423:F434)</f>
        <v>130.56221689315214</v>
      </c>
    </row>
    <row r="436" spans="2:6" x14ac:dyDescent="0.25">
      <c r="B436" s="4" t="s">
        <v>22</v>
      </c>
      <c r="C436" s="6"/>
      <c r="D436" s="6"/>
      <c r="E436" s="6"/>
      <c r="F436" s="23">
        <f>F421+F435</f>
        <v>145.80221689315215</v>
      </c>
    </row>
    <row r="437" spans="2:6" x14ac:dyDescent="0.25">
      <c r="B437" s="7"/>
      <c r="C437" s="7"/>
      <c r="D437" s="7"/>
      <c r="E437" s="7"/>
      <c r="F437" s="7"/>
    </row>
    <row r="438" spans="2:6" x14ac:dyDescent="0.25">
      <c r="B438" s="20"/>
      <c r="C438" s="20"/>
      <c r="D438" s="20"/>
      <c r="E438" s="20"/>
      <c r="F438" s="20"/>
    </row>
    <row r="439" spans="2:6" x14ac:dyDescent="0.25">
      <c r="B439" s="20"/>
      <c r="C439" s="20"/>
      <c r="D439" s="20"/>
      <c r="E439" s="20"/>
      <c r="F439" s="20"/>
    </row>
    <row r="440" spans="2:6" x14ac:dyDescent="0.25">
      <c r="B440" s="39" t="s">
        <v>23</v>
      </c>
      <c r="C440" s="38"/>
      <c r="D440" s="38"/>
      <c r="E440" s="39" t="s">
        <v>24</v>
      </c>
      <c r="F440" s="38"/>
    </row>
    <row r="442" spans="2:6" ht="31.15" customHeight="1" x14ac:dyDescent="0.25">
      <c r="B442" s="37" t="s">
        <v>238</v>
      </c>
      <c r="C442" s="37"/>
      <c r="D442" s="37"/>
      <c r="E442" s="37"/>
      <c r="F442" s="37"/>
    </row>
    <row r="443" spans="2:6" ht="27" customHeight="1" x14ac:dyDescent="0.25">
      <c r="B443" s="37" t="s">
        <v>1</v>
      </c>
      <c r="C443" s="37"/>
      <c r="D443" s="37"/>
      <c r="E443" s="37"/>
      <c r="F443" s="37"/>
    </row>
    <row r="444" spans="2:6" x14ac:dyDescent="0.25">
      <c r="B444" s="19" t="s">
        <v>0</v>
      </c>
      <c r="C444" s="19"/>
      <c r="D444" s="19"/>
      <c r="E444" s="19"/>
      <c r="F444" s="19"/>
    </row>
    <row r="445" spans="2:6" x14ac:dyDescent="0.25">
      <c r="B445" s="21"/>
      <c r="C445" s="38" t="s">
        <v>25</v>
      </c>
      <c r="D445" s="38"/>
      <c r="E445" s="21">
        <v>488.4</v>
      </c>
      <c r="F445" s="21" t="s">
        <v>26</v>
      </c>
    </row>
    <row r="447" spans="2:6" ht="60" x14ac:dyDescent="0.25">
      <c r="B447" s="1" t="s">
        <v>2</v>
      </c>
      <c r="C447" s="1" t="s">
        <v>4</v>
      </c>
      <c r="D447" s="1" t="s">
        <v>3</v>
      </c>
      <c r="E447" s="1" t="s">
        <v>447</v>
      </c>
      <c r="F447" s="1" t="s">
        <v>5</v>
      </c>
    </row>
    <row r="448" spans="2:6" x14ac:dyDescent="0.25">
      <c r="B448" s="1"/>
      <c r="C448" s="1"/>
      <c r="D448" s="1"/>
      <c r="E448" s="1"/>
      <c r="F448" s="1"/>
    </row>
    <row r="449" spans="2:6" x14ac:dyDescent="0.25">
      <c r="B449" s="3" t="s">
        <v>6</v>
      </c>
      <c r="C449" s="1"/>
      <c r="D449" s="1"/>
      <c r="E449" s="1"/>
      <c r="F449" s="1"/>
    </row>
    <row r="450" spans="2:6" x14ac:dyDescent="0.25">
      <c r="B450" s="5" t="s">
        <v>7</v>
      </c>
      <c r="C450" s="1"/>
      <c r="D450" s="1"/>
      <c r="E450" s="1"/>
      <c r="F450" s="5">
        <v>2.0099999999999998</v>
      </c>
    </row>
    <row r="451" spans="2:6" x14ac:dyDescent="0.25">
      <c r="B451" s="5" t="s">
        <v>8</v>
      </c>
      <c r="C451" s="1"/>
      <c r="D451" s="1"/>
      <c r="E451" s="1"/>
      <c r="F451" s="5">
        <v>5.34</v>
      </c>
    </row>
    <row r="452" spans="2:6" ht="24.75" x14ac:dyDescent="0.25">
      <c r="B452" s="5" t="s">
        <v>11</v>
      </c>
      <c r="C452" s="1"/>
      <c r="D452" s="1"/>
      <c r="E452" s="1"/>
      <c r="F452" s="5">
        <v>0.55000000000000004</v>
      </c>
    </row>
    <row r="453" spans="2:6" ht="24.75" x14ac:dyDescent="0.25">
      <c r="B453" s="5" t="s">
        <v>12</v>
      </c>
      <c r="C453" s="1"/>
      <c r="D453" s="1"/>
      <c r="E453" s="1"/>
      <c r="F453" s="5">
        <v>0.53</v>
      </c>
    </row>
    <row r="454" spans="2:6" ht="24.75" x14ac:dyDescent="0.25">
      <c r="B454" s="5" t="s">
        <v>13</v>
      </c>
      <c r="C454" s="1"/>
      <c r="D454" s="1"/>
      <c r="E454" s="1"/>
      <c r="F454" s="5">
        <v>0.19</v>
      </c>
    </row>
    <row r="455" spans="2:6" ht="24.75" x14ac:dyDescent="0.25">
      <c r="B455" s="5" t="s">
        <v>9</v>
      </c>
      <c r="C455" s="1"/>
      <c r="D455" s="1"/>
      <c r="E455" s="1"/>
      <c r="F455" s="5">
        <v>0.26</v>
      </c>
    </row>
    <row r="456" spans="2:6" ht="24.75" x14ac:dyDescent="0.25">
      <c r="B456" s="5" t="s">
        <v>15</v>
      </c>
      <c r="C456" s="1"/>
      <c r="D456" s="1"/>
      <c r="E456" s="1"/>
      <c r="F456" s="5">
        <v>0.27</v>
      </c>
    </row>
    <row r="457" spans="2:6" ht="24.75" x14ac:dyDescent="0.25">
      <c r="B457" s="5" t="s">
        <v>16</v>
      </c>
      <c r="C457" s="1"/>
      <c r="D457" s="1"/>
      <c r="E457" s="1"/>
      <c r="F457" s="5">
        <v>0.28999999999999998</v>
      </c>
    </row>
    <row r="458" spans="2:6" x14ac:dyDescent="0.25">
      <c r="B458" s="5" t="s">
        <v>17</v>
      </c>
      <c r="C458" s="1"/>
      <c r="D458" s="1"/>
      <c r="E458" s="1"/>
      <c r="F458" s="5">
        <v>0.32</v>
      </c>
    </row>
    <row r="459" spans="2:6" x14ac:dyDescent="0.25">
      <c r="B459" s="5" t="s">
        <v>18</v>
      </c>
      <c r="C459" s="1"/>
      <c r="D459" s="1"/>
      <c r="E459" s="1"/>
      <c r="F459" s="5">
        <v>1.97</v>
      </c>
    </row>
    <row r="460" spans="2:6" x14ac:dyDescent="0.25">
      <c r="B460" s="5" t="s">
        <v>19</v>
      </c>
      <c r="C460" s="1"/>
      <c r="D460" s="1"/>
      <c r="E460" s="1"/>
      <c r="F460" s="5">
        <v>3.51</v>
      </c>
    </row>
    <row r="461" spans="2:6" x14ac:dyDescent="0.25">
      <c r="B461" s="10" t="s">
        <v>20</v>
      </c>
      <c r="C461" s="1"/>
      <c r="D461" s="1"/>
      <c r="E461" s="1"/>
      <c r="F461" s="22">
        <f>SUM(F450:F460)</f>
        <v>15.239999999999998</v>
      </c>
    </row>
    <row r="462" spans="2:6" x14ac:dyDescent="0.25">
      <c r="B462" s="3" t="s">
        <v>21</v>
      </c>
      <c r="C462" s="1"/>
      <c r="D462" s="1"/>
      <c r="E462" s="1"/>
      <c r="F462" s="1"/>
    </row>
    <row r="463" spans="2:6" x14ac:dyDescent="0.25">
      <c r="B463" s="15" t="s">
        <v>252</v>
      </c>
      <c r="C463" s="1" t="s">
        <v>256</v>
      </c>
      <c r="D463" s="1">
        <v>2</v>
      </c>
      <c r="E463" s="1">
        <v>80</v>
      </c>
      <c r="F463" s="24">
        <f>E463/488.4*1000/12</f>
        <v>13.65001365001365</v>
      </c>
    </row>
    <row r="464" spans="2:6" x14ac:dyDescent="0.25">
      <c r="B464" s="15" t="s">
        <v>269</v>
      </c>
      <c r="C464" s="1" t="s">
        <v>261</v>
      </c>
      <c r="D464" s="1">
        <v>2</v>
      </c>
      <c r="E464" s="1">
        <v>10</v>
      </c>
      <c r="F464" s="24">
        <f t="shared" ref="F464:F474" si="11">E464/488.4*1000/12</f>
        <v>1.7062517062517062</v>
      </c>
    </row>
    <row r="465" spans="2:6" x14ac:dyDescent="0.25">
      <c r="B465" s="15" t="s">
        <v>301</v>
      </c>
      <c r="C465" s="1" t="s">
        <v>265</v>
      </c>
      <c r="D465" s="1">
        <v>1</v>
      </c>
      <c r="E465" s="1">
        <v>15</v>
      </c>
      <c r="F465" s="24">
        <f t="shared" si="11"/>
        <v>2.5593775593775594</v>
      </c>
    </row>
    <row r="466" spans="2:6" x14ac:dyDescent="0.25">
      <c r="B466" s="15" t="s">
        <v>253</v>
      </c>
      <c r="C466" s="1" t="s">
        <v>26</v>
      </c>
      <c r="D466" s="1">
        <v>90</v>
      </c>
      <c r="E466" s="1">
        <v>65</v>
      </c>
      <c r="F466" s="24">
        <f t="shared" si="11"/>
        <v>11.090636090636091</v>
      </c>
    </row>
    <row r="467" spans="2:6" x14ac:dyDescent="0.25">
      <c r="B467" s="15" t="s">
        <v>293</v>
      </c>
      <c r="C467" s="1" t="s">
        <v>26</v>
      </c>
      <c r="D467" s="1">
        <v>5</v>
      </c>
      <c r="E467" s="1">
        <v>2</v>
      </c>
      <c r="F467" s="24">
        <f t="shared" si="11"/>
        <v>0.3412503412503412</v>
      </c>
    </row>
    <row r="468" spans="2:6" x14ac:dyDescent="0.25">
      <c r="B468" s="15" t="s">
        <v>276</v>
      </c>
      <c r="C468" s="1" t="s">
        <v>26</v>
      </c>
      <c r="D468" s="1">
        <v>280</v>
      </c>
      <c r="E468" s="1">
        <v>225</v>
      </c>
      <c r="F468" s="24">
        <f t="shared" si="11"/>
        <v>38.390663390663391</v>
      </c>
    </row>
    <row r="469" spans="2:6" x14ac:dyDescent="0.25">
      <c r="B469" s="15" t="s">
        <v>254</v>
      </c>
      <c r="C469" s="1" t="s">
        <v>26</v>
      </c>
      <c r="D469" s="1">
        <v>85</v>
      </c>
      <c r="E469" s="1">
        <v>51</v>
      </c>
      <c r="F469" s="24">
        <f t="shared" si="11"/>
        <v>8.7018837018837019</v>
      </c>
    </row>
    <row r="470" spans="2:6" x14ac:dyDescent="0.25">
      <c r="B470" s="15" t="s">
        <v>257</v>
      </c>
      <c r="C470" s="1" t="s">
        <v>26</v>
      </c>
      <c r="D470" s="1">
        <v>330</v>
      </c>
      <c r="E470" s="1">
        <v>396</v>
      </c>
      <c r="F470" s="24">
        <f t="shared" si="11"/>
        <v>67.567567567567565</v>
      </c>
    </row>
    <row r="471" spans="2:6" x14ac:dyDescent="0.25">
      <c r="B471" s="15" t="s">
        <v>260</v>
      </c>
      <c r="C471" s="1" t="s">
        <v>256</v>
      </c>
      <c r="D471" s="1">
        <v>2</v>
      </c>
      <c r="E471" s="1">
        <v>110</v>
      </c>
      <c r="F471" s="24">
        <f t="shared" si="11"/>
        <v>18.768768768768769</v>
      </c>
    </row>
    <row r="472" spans="2:6" x14ac:dyDescent="0.25">
      <c r="B472" s="1"/>
      <c r="C472" s="1"/>
      <c r="D472" s="1"/>
      <c r="E472" s="1"/>
      <c r="F472" s="24">
        <f t="shared" si="11"/>
        <v>0</v>
      </c>
    </row>
    <row r="473" spans="2:6" x14ac:dyDescent="0.25">
      <c r="B473" s="1"/>
      <c r="C473" s="1"/>
      <c r="D473" s="1"/>
      <c r="E473" s="1"/>
      <c r="F473" s="24">
        <f t="shared" si="11"/>
        <v>0</v>
      </c>
    </row>
    <row r="474" spans="2:6" x14ac:dyDescent="0.25">
      <c r="B474" s="1"/>
      <c r="C474" s="1"/>
      <c r="D474" s="1"/>
      <c r="E474" s="1"/>
      <c r="F474" s="24">
        <f t="shared" si="11"/>
        <v>0</v>
      </c>
    </row>
    <row r="475" spans="2:6" x14ac:dyDescent="0.25">
      <c r="B475" s="10" t="s">
        <v>20</v>
      </c>
      <c r="C475" s="1"/>
      <c r="D475" s="1"/>
      <c r="E475" s="4">
        <f>SUM(E463:E474)</f>
        <v>954</v>
      </c>
      <c r="F475" s="22">
        <f>SUM(F463:F474)</f>
        <v>162.77641277641277</v>
      </c>
    </row>
    <row r="476" spans="2:6" x14ac:dyDescent="0.25">
      <c r="B476" s="4" t="s">
        <v>22</v>
      </c>
      <c r="C476" s="6"/>
      <c r="D476" s="6"/>
      <c r="E476" s="6"/>
      <c r="F476" s="23">
        <f>F461+F475</f>
        <v>178.01641277641278</v>
      </c>
    </row>
    <row r="477" spans="2:6" x14ac:dyDescent="0.25">
      <c r="B477" s="7"/>
      <c r="C477" s="7"/>
      <c r="D477" s="7"/>
      <c r="E477" s="7"/>
      <c r="F477" s="7"/>
    </row>
    <row r="478" spans="2:6" x14ac:dyDescent="0.25">
      <c r="B478" s="20"/>
      <c r="C478" s="20"/>
      <c r="D478" s="20"/>
      <c r="E478" s="20"/>
      <c r="F478" s="20"/>
    </row>
    <row r="479" spans="2:6" x14ac:dyDescent="0.25">
      <c r="B479" s="20"/>
      <c r="C479" s="20"/>
      <c r="D479" s="20"/>
      <c r="E479" s="20"/>
      <c r="F479" s="20"/>
    </row>
    <row r="480" spans="2:6" x14ac:dyDescent="0.25">
      <c r="B480" s="39" t="s">
        <v>23</v>
      </c>
      <c r="C480" s="38"/>
      <c r="D480" s="38"/>
      <c r="E480" s="39" t="s">
        <v>24</v>
      </c>
      <c r="F480" s="38"/>
    </row>
    <row r="482" spans="2:6" ht="28.15" customHeight="1" x14ac:dyDescent="0.25">
      <c r="B482" s="37" t="s">
        <v>239</v>
      </c>
      <c r="C482" s="37"/>
      <c r="D482" s="37"/>
      <c r="E482" s="37"/>
      <c r="F482" s="37"/>
    </row>
    <row r="483" spans="2:6" ht="27.6" customHeight="1" x14ac:dyDescent="0.25">
      <c r="B483" s="37" t="s">
        <v>1</v>
      </c>
      <c r="C483" s="37"/>
      <c r="D483" s="37"/>
      <c r="E483" s="37"/>
      <c r="F483" s="37"/>
    </row>
    <row r="484" spans="2:6" x14ac:dyDescent="0.25">
      <c r="B484" s="19" t="s">
        <v>0</v>
      </c>
      <c r="C484" s="19"/>
      <c r="D484" s="19"/>
      <c r="E484" s="19"/>
      <c r="F484" s="19"/>
    </row>
    <row r="485" spans="2:6" x14ac:dyDescent="0.25">
      <c r="B485" s="21"/>
      <c r="C485" s="38" t="s">
        <v>25</v>
      </c>
      <c r="D485" s="38"/>
      <c r="E485" s="21">
        <v>533</v>
      </c>
      <c r="F485" s="21" t="s">
        <v>26</v>
      </c>
    </row>
    <row r="487" spans="2:6" ht="60" x14ac:dyDescent="0.25">
      <c r="B487" s="1" t="s">
        <v>2</v>
      </c>
      <c r="C487" s="1" t="s">
        <v>4</v>
      </c>
      <c r="D487" s="1" t="s">
        <v>3</v>
      </c>
      <c r="E487" s="1" t="s">
        <v>447</v>
      </c>
      <c r="F487" s="1" t="s">
        <v>5</v>
      </c>
    </row>
    <row r="488" spans="2:6" x14ac:dyDescent="0.25">
      <c r="B488" s="1"/>
      <c r="C488" s="1"/>
      <c r="D488" s="1"/>
      <c r="E488" s="1"/>
      <c r="F488" s="1"/>
    </row>
    <row r="489" spans="2:6" x14ac:dyDescent="0.25">
      <c r="B489" s="3" t="s">
        <v>6</v>
      </c>
      <c r="C489" s="1"/>
      <c r="D489" s="1"/>
      <c r="E489" s="1"/>
      <c r="F489" s="1"/>
    </row>
    <row r="490" spans="2:6" x14ac:dyDescent="0.25">
      <c r="B490" s="5" t="s">
        <v>7</v>
      </c>
      <c r="C490" s="1"/>
      <c r="D490" s="1"/>
      <c r="E490" s="1"/>
      <c r="F490" s="5">
        <v>2.0099999999999998</v>
      </c>
    </row>
    <row r="491" spans="2:6" x14ac:dyDescent="0.25">
      <c r="B491" s="5" t="s">
        <v>8</v>
      </c>
      <c r="C491" s="1"/>
      <c r="D491" s="1"/>
      <c r="E491" s="1"/>
      <c r="F491" s="5">
        <v>5.34</v>
      </c>
    </row>
    <row r="492" spans="2:6" ht="24.75" x14ac:dyDescent="0.25">
      <c r="B492" s="5" t="s">
        <v>11</v>
      </c>
      <c r="C492" s="1"/>
      <c r="D492" s="1"/>
      <c r="E492" s="1"/>
      <c r="F492" s="5">
        <v>0.55000000000000004</v>
      </c>
    </row>
    <row r="493" spans="2:6" ht="24.75" x14ac:dyDescent="0.25">
      <c r="B493" s="5" t="s">
        <v>12</v>
      </c>
      <c r="C493" s="1"/>
      <c r="D493" s="1"/>
      <c r="E493" s="1"/>
      <c r="F493" s="5">
        <v>0.53</v>
      </c>
    </row>
    <row r="494" spans="2:6" ht="24.75" x14ac:dyDescent="0.25">
      <c r="B494" s="5" t="s">
        <v>13</v>
      </c>
      <c r="C494" s="1"/>
      <c r="D494" s="1"/>
      <c r="E494" s="1"/>
      <c r="F494" s="5">
        <v>0.19</v>
      </c>
    </row>
    <row r="495" spans="2:6" ht="24.75" x14ac:dyDescent="0.25">
      <c r="B495" s="5" t="s">
        <v>9</v>
      </c>
      <c r="C495" s="1"/>
      <c r="D495" s="1"/>
      <c r="E495" s="1"/>
      <c r="F495" s="5">
        <v>0.26</v>
      </c>
    </row>
    <row r="496" spans="2:6" ht="24.75" x14ac:dyDescent="0.25">
      <c r="B496" s="5" t="s">
        <v>15</v>
      </c>
      <c r="C496" s="1"/>
      <c r="D496" s="1"/>
      <c r="E496" s="1"/>
      <c r="F496" s="5">
        <v>0.27</v>
      </c>
    </row>
    <row r="497" spans="2:6" ht="24.75" x14ac:dyDescent="0.25">
      <c r="B497" s="5" t="s">
        <v>16</v>
      </c>
      <c r="C497" s="1"/>
      <c r="D497" s="1"/>
      <c r="E497" s="1"/>
      <c r="F497" s="5">
        <v>0.28999999999999998</v>
      </c>
    </row>
    <row r="498" spans="2:6" x14ac:dyDescent="0.25">
      <c r="B498" s="5" t="s">
        <v>17</v>
      </c>
      <c r="C498" s="1"/>
      <c r="D498" s="1"/>
      <c r="E498" s="1"/>
      <c r="F498" s="5">
        <v>0.32</v>
      </c>
    </row>
    <row r="499" spans="2:6" x14ac:dyDescent="0.25">
      <c r="B499" s="5" t="s">
        <v>18</v>
      </c>
      <c r="C499" s="1"/>
      <c r="D499" s="1"/>
      <c r="E499" s="1"/>
      <c r="F499" s="5">
        <v>1.97</v>
      </c>
    </row>
    <row r="500" spans="2:6" x14ac:dyDescent="0.25">
      <c r="B500" s="5" t="s">
        <v>19</v>
      </c>
      <c r="C500" s="1"/>
      <c r="D500" s="1"/>
      <c r="E500" s="1"/>
      <c r="F500" s="5">
        <v>3.51</v>
      </c>
    </row>
    <row r="501" spans="2:6" x14ac:dyDescent="0.25">
      <c r="B501" s="10" t="s">
        <v>20</v>
      </c>
      <c r="C501" s="1"/>
      <c r="D501" s="1"/>
      <c r="E501" s="1"/>
      <c r="F501" s="22">
        <f>SUM(F490:F500)</f>
        <v>15.239999999999998</v>
      </c>
    </row>
    <row r="502" spans="2:6" x14ac:dyDescent="0.25">
      <c r="B502" s="3" t="s">
        <v>21</v>
      </c>
      <c r="C502" s="1"/>
      <c r="D502" s="1"/>
      <c r="E502" s="1"/>
      <c r="F502" s="1"/>
    </row>
    <row r="503" spans="2:6" x14ac:dyDescent="0.25">
      <c r="B503" s="29" t="s">
        <v>252</v>
      </c>
      <c r="C503" s="1" t="s">
        <v>256</v>
      </c>
      <c r="D503" s="1">
        <v>2</v>
      </c>
      <c r="E503" s="1">
        <v>80</v>
      </c>
      <c r="F503" s="24">
        <f>E503/533*1000/12</f>
        <v>12.507817385866169</v>
      </c>
    </row>
    <row r="504" spans="2:6" x14ac:dyDescent="0.25">
      <c r="B504" s="1"/>
      <c r="C504" s="1"/>
      <c r="D504" s="1"/>
      <c r="E504" s="1"/>
      <c r="F504" s="24">
        <f t="shared" ref="F504:F514" si="12">E504/533*1000/12</f>
        <v>0</v>
      </c>
    </row>
    <row r="505" spans="2:6" x14ac:dyDescent="0.25">
      <c r="B505" s="1"/>
      <c r="C505" s="1"/>
      <c r="D505" s="1"/>
      <c r="E505" s="1"/>
      <c r="F505" s="24">
        <f t="shared" si="12"/>
        <v>0</v>
      </c>
    </row>
    <row r="506" spans="2:6" x14ac:dyDescent="0.25">
      <c r="B506" s="1"/>
      <c r="C506" s="1"/>
      <c r="D506" s="1"/>
      <c r="E506" s="1"/>
      <c r="F506" s="24">
        <f t="shared" si="12"/>
        <v>0</v>
      </c>
    </row>
    <row r="507" spans="2:6" x14ac:dyDescent="0.25">
      <c r="B507" s="1"/>
      <c r="C507" s="1"/>
      <c r="D507" s="1"/>
      <c r="E507" s="1"/>
      <c r="F507" s="24">
        <f t="shared" si="12"/>
        <v>0</v>
      </c>
    </row>
    <row r="508" spans="2:6" x14ac:dyDescent="0.25">
      <c r="B508" s="1"/>
      <c r="C508" s="1"/>
      <c r="D508" s="1"/>
      <c r="E508" s="1"/>
      <c r="F508" s="24">
        <f t="shared" si="12"/>
        <v>0</v>
      </c>
    </row>
    <row r="509" spans="2:6" x14ac:dyDescent="0.25">
      <c r="B509" s="1"/>
      <c r="C509" s="1"/>
      <c r="D509" s="1"/>
      <c r="E509" s="1"/>
      <c r="F509" s="24">
        <f t="shared" si="12"/>
        <v>0</v>
      </c>
    </row>
    <row r="510" spans="2:6" x14ac:dyDescent="0.25">
      <c r="B510" s="1"/>
      <c r="C510" s="1"/>
      <c r="D510" s="1"/>
      <c r="E510" s="1"/>
      <c r="F510" s="24">
        <f t="shared" si="12"/>
        <v>0</v>
      </c>
    </row>
    <row r="511" spans="2:6" x14ac:dyDescent="0.25">
      <c r="B511" s="1"/>
      <c r="C511" s="1"/>
      <c r="D511" s="1"/>
      <c r="E511" s="1"/>
      <c r="F511" s="24">
        <f t="shared" si="12"/>
        <v>0</v>
      </c>
    </row>
    <row r="512" spans="2:6" x14ac:dyDescent="0.25">
      <c r="B512" s="1"/>
      <c r="C512" s="1"/>
      <c r="D512" s="1"/>
      <c r="E512" s="1"/>
      <c r="F512" s="24">
        <f t="shared" si="12"/>
        <v>0</v>
      </c>
    </row>
    <row r="513" spans="2:6" x14ac:dyDescent="0.25">
      <c r="B513" s="1"/>
      <c r="C513" s="1"/>
      <c r="D513" s="1"/>
      <c r="E513" s="1"/>
      <c r="F513" s="24">
        <f t="shared" si="12"/>
        <v>0</v>
      </c>
    </row>
    <row r="514" spans="2:6" x14ac:dyDescent="0.25">
      <c r="B514" s="1"/>
      <c r="C514" s="1"/>
      <c r="D514" s="1"/>
      <c r="E514" s="1"/>
      <c r="F514" s="24">
        <f t="shared" si="12"/>
        <v>0</v>
      </c>
    </row>
    <row r="515" spans="2:6" x14ac:dyDescent="0.25">
      <c r="B515" s="10" t="s">
        <v>20</v>
      </c>
      <c r="C515" s="1"/>
      <c r="D515" s="1"/>
      <c r="E515" s="4">
        <f>SUM(E503:E514)</f>
        <v>80</v>
      </c>
      <c r="F515" s="22">
        <f>SUM(F503:F514)</f>
        <v>12.507817385866169</v>
      </c>
    </row>
    <row r="516" spans="2:6" x14ac:dyDescent="0.25">
      <c r="B516" s="4" t="s">
        <v>22</v>
      </c>
      <c r="C516" s="6"/>
      <c r="D516" s="6"/>
      <c r="E516" s="6"/>
      <c r="F516" s="23">
        <f>F501+F515</f>
        <v>27.747817385866167</v>
      </c>
    </row>
    <row r="517" spans="2:6" x14ac:dyDescent="0.25">
      <c r="B517" s="7"/>
      <c r="C517" s="7"/>
      <c r="D517" s="7"/>
      <c r="E517" s="7"/>
      <c r="F517" s="7"/>
    </row>
    <row r="518" spans="2:6" x14ac:dyDescent="0.25">
      <c r="B518" s="20"/>
      <c r="C518" s="20"/>
      <c r="D518" s="20"/>
      <c r="E518" s="20"/>
      <c r="F518" s="20"/>
    </row>
    <row r="519" spans="2:6" x14ac:dyDescent="0.25">
      <c r="B519" s="20"/>
      <c r="C519" s="20"/>
      <c r="D519" s="20"/>
      <c r="E519" s="20"/>
      <c r="F519" s="20"/>
    </row>
    <row r="520" spans="2:6" x14ac:dyDescent="0.25">
      <c r="B520" s="39" t="s">
        <v>23</v>
      </c>
      <c r="C520" s="38"/>
      <c r="D520" s="38"/>
      <c r="E520" s="39" t="s">
        <v>24</v>
      </c>
      <c r="F520" s="38"/>
    </row>
    <row r="522" spans="2:6" ht="27" customHeight="1" x14ac:dyDescent="0.25">
      <c r="B522" s="37" t="s">
        <v>240</v>
      </c>
      <c r="C522" s="37"/>
      <c r="D522" s="37"/>
      <c r="E522" s="37"/>
      <c r="F522" s="37"/>
    </row>
    <row r="523" spans="2:6" ht="28.9" customHeight="1" x14ac:dyDescent="0.25">
      <c r="B523" s="37" t="s">
        <v>1</v>
      </c>
      <c r="C523" s="37"/>
      <c r="D523" s="37"/>
      <c r="E523" s="37"/>
      <c r="F523" s="37"/>
    </row>
    <row r="524" spans="2:6" x14ac:dyDescent="0.25">
      <c r="B524" s="19" t="s">
        <v>0</v>
      </c>
      <c r="C524" s="19"/>
      <c r="D524" s="19"/>
      <c r="E524" s="19"/>
      <c r="F524" s="19"/>
    </row>
    <row r="525" spans="2:6" x14ac:dyDescent="0.25">
      <c r="B525" s="21"/>
      <c r="C525" s="38" t="s">
        <v>25</v>
      </c>
      <c r="D525" s="38"/>
      <c r="E525" s="21">
        <v>908.6</v>
      </c>
      <c r="F525" s="21" t="s">
        <v>26</v>
      </c>
    </row>
    <row r="527" spans="2:6" ht="60" x14ac:dyDescent="0.25">
      <c r="B527" s="1" t="s">
        <v>2</v>
      </c>
      <c r="C527" s="1" t="s">
        <v>4</v>
      </c>
      <c r="D527" s="1" t="s">
        <v>3</v>
      </c>
      <c r="E527" s="1" t="s">
        <v>447</v>
      </c>
      <c r="F527" s="1" t="s">
        <v>5</v>
      </c>
    </row>
    <row r="528" spans="2:6" x14ac:dyDescent="0.25">
      <c r="B528" s="1"/>
      <c r="C528" s="1"/>
      <c r="D528" s="1"/>
      <c r="E528" s="1"/>
      <c r="F528" s="1"/>
    </row>
    <row r="529" spans="2:6" x14ac:dyDescent="0.25">
      <c r="B529" s="3" t="s">
        <v>6</v>
      </c>
      <c r="C529" s="1"/>
      <c r="D529" s="1"/>
      <c r="E529" s="1"/>
      <c r="F529" s="1"/>
    </row>
    <row r="530" spans="2:6" x14ac:dyDescent="0.25">
      <c r="B530" s="5" t="s">
        <v>7</v>
      </c>
      <c r="C530" s="1"/>
      <c r="D530" s="1"/>
      <c r="E530" s="1"/>
      <c r="F530" s="5">
        <v>2.0099999999999998</v>
      </c>
    </row>
    <row r="531" spans="2:6" x14ac:dyDescent="0.25">
      <c r="B531" s="5" t="s">
        <v>8</v>
      </c>
      <c r="C531" s="1"/>
      <c r="D531" s="1"/>
      <c r="E531" s="1"/>
      <c r="F531" s="5">
        <v>5.34</v>
      </c>
    </row>
    <row r="532" spans="2:6" x14ac:dyDescent="0.25">
      <c r="B532" s="15" t="s">
        <v>30</v>
      </c>
      <c r="C532" s="1"/>
      <c r="D532" s="1"/>
      <c r="E532" s="1"/>
      <c r="F532" s="5">
        <v>0.06</v>
      </c>
    </row>
    <row r="533" spans="2:6" ht="24.75" x14ac:dyDescent="0.25">
      <c r="B533" s="5" t="s">
        <v>11</v>
      </c>
      <c r="C533" s="1"/>
      <c r="D533" s="1"/>
      <c r="E533" s="1"/>
      <c r="F533" s="5">
        <v>0.55000000000000004</v>
      </c>
    </row>
    <row r="534" spans="2:6" ht="24.75" x14ac:dyDescent="0.25">
      <c r="B534" s="5" t="s">
        <v>12</v>
      </c>
      <c r="C534" s="1"/>
      <c r="D534" s="1"/>
      <c r="E534" s="1"/>
      <c r="F534" s="5">
        <v>0.53</v>
      </c>
    </row>
    <row r="535" spans="2:6" ht="24.75" x14ac:dyDescent="0.25">
      <c r="B535" s="5" t="s">
        <v>13</v>
      </c>
      <c r="C535" s="1"/>
      <c r="D535" s="1"/>
      <c r="E535" s="1"/>
      <c r="F535" s="5">
        <v>0.19</v>
      </c>
    </row>
    <row r="536" spans="2:6" ht="24.75" x14ac:dyDescent="0.25">
      <c r="B536" s="5" t="s">
        <v>9</v>
      </c>
      <c r="C536" s="1"/>
      <c r="D536" s="1"/>
      <c r="E536" s="1"/>
      <c r="F536" s="5">
        <v>0.26</v>
      </c>
    </row>
    <row r="537" spans="2:6" ht="24.75" x14ac:dyDescent="0.25">
      <c r="B537" s="5" t="s">
        <v>15</v>
      </c>
      <c r="C537" s="1"/>
      <c r="D537" s="1"/>
      <c r="E537" s="1"/>
      <c r="F537" s="5">
        <v>0.27</v>
      </c>
    </row>
    <row r="538" spans="2:6" ht="24.75" x14ac:dyDescent="0.25">
      <c r="B538" s="5" t="s">
        <v>16</v>
      </c>
      <c r="C538" s="1"/>
      <c r="D538" s="1"/>
      <c r="E538" s="1"/>
      <c r="F538" s="5">
        <v>0.28999999999999998</v>
      </c>
    </row>
    <row r="539" spans="2:6" x14ac:dyDescent="0.25">
      <c r="B539" s="5" t="s">
        <v>17</v>
      </c>
      <c r="C539" s="1"/>
      <c r="D539" s="1"/>
      <c r="E539" s="1"/>
      <c r="F539" s="5">
        <v>0.32</v>
      </c>
    </row>
    <row r="540" spans="2:6" x14ac:dyDescent="0.25">
      <c r="B540" s="5" t="s">
        <v>18</v>
      </c>
      <c r="C540" s="1"/>
      <c r="D540" s="1"/>
      <c r="E540" s="1"/>
      <c r="F540" s="5">
        <v>1.97</v>
      </c>
    </row>
    <row r="541" spans="2:6" x14ac:dyDescent="0.25">
      <c r="B541" s="5" t="s">
        <v>19</v>
      </c>
      <c r="C541" s="1"/>
      <c r="D541" s="1"/>
      <c r="E541" s="1"/>
      <c r="F541" s="5">
        <v>3.51</v>
      </c>
    </row>
    <row r="542" spans="2:6" x14ac:dyDescent="0.25">
      <c r="B542" s="10" t="s">
        <v>20</v>
      </c>
      <c r="C542" s="1"/>
      <c r="D542" s="1"/>
      <c r="E542" s="1"/>
      <c r="F542" s="22">
        <f>SUM(F530:F541)</f>
        <v>15.299999999999997</v>
      </c>
    </row>
    <row r="543" spans="2:6" x14ac:dyDescent="0.25">
      <c r="B543" s="3" t="s">
        <v>21</v>
      </c>
      <c r="C543" s="1"/>
      <c r="D543" s="1"/>
      <c r="E543" s="1"/>
      <c r="F543" s="1"/>
    </row>
    <row r="544" spans="2:6" x14ac:dyDescent="0.25">
      <c r="B544" s="15" t="s">
        <v>252</v>
      </c>
      <c r="C544" s="1" t="s">
        <v>256</v>
      </c>
      <c r="D544" s="1">
        <v>2</v>
      </c>
      <c r="E544" s="1">
        <v>80</v>
      </c>
      <c r="F544" s="24">
        <f>E544/908.6*1000/12</f>
        <v>7.3372954728886937</v>
      </c>
    </row>
    <row r="545" spans="2:6" x14ac:dyDescent="0.25">
      <c r="B545" s="15" t="s">
        <v>269</v>
      </c>
      <c r="C545" s="1" t="s">
        <v>261</v>
      </c>
      <c r="D545" s="1">
        <v>3</v>
      </c>
      <c r="E545" s="1">
        <v>15</v>
      </c>
      <c r="F545" s="24">
        <f t="shared" ref="F545:F555" si="13">E545/908.6*1000/12</f>
        <v>1.3757429011666298</v>
      </c>
    </row>
    <row r="546" spans="2:6" x14ac:dyDescent="0.25">
      <c r="B546" s="15" t="s">
        <v>253</v>
      </c>
      <c r="C546" s="1" t="s">
        <v>26</v>
      </c>
      <c r="D546" s="1">
        <v>80</v>
      </c>
      <c r="E546" s="1">
        <v>60</v>
      </c>
      <c r="F546" s="24">
        <f t="shared" si="13"/>
        <v>5.5029716046665191</v>
      </c>
    </row>
    <row r="547" spans="2:6" x14ac:dyDescent="0.25">
      <c r="B547" s="15" t="s">
        <v>255</v>
      </c>
      <c r="C547" s="1" t="s">
        <v>26</v>
      </c>
      <c r="D547" s="1">
        <v>2.2000000000000002</v>
      </c>
      <c r="E547" s="1">
        <v>6</v>
      </c>
      <c r="F547" s="24">
        <f t="shared" si="13"/>
        <v>0.550297160466652</v>
      </c>
    </row>
    <row r="548" spans="2:6" x14ac:dyDescent="0.25">
      <c r="B548" s="1"/>
      <c r="C548" s="1"/>
      <c r="D548" s="1"/>
      <c r="E548" s="1"/>
      <c r="F548" s="24">
        <f t="shared" si="13"/>
        <v>0</v>
      </c>
    </row>
    <row r="549" spans="2:6" x14ac:dyDescent="0.25">
      <c r="B549" s="1"/>
      <c r="C549" s="1"/>
      <c r="D549" s="1"/>
      <c r="E549" s="1"/>
      <c r="F549" s="24">
        <f t="shared" si="13"/>
        <v>0</v>
      </c>
    </row>
    <row r="550" spans="2:6" x14ac:dyDescent="0.25">
      <c r="B550" s="1"/>
      <c r="C550" s="1"/>
      <c r="D550" s="1"/>
      <c r="E550" s="1"/>
      <c r="F550" s="24">
        <f t="shared" si="13"/>
        <v>0</v>
      </c>
    </row>
    <row r="551" spans="2:6" x14ac:dyDescent="0.25">
      <c r="B551" s="1"/>
      <c r="C551" s="1"/>
      <c r="D551" s="1"/>
      <c r="E551" s="1"/>
      <c r="F551" s="24">
        <f t="shared" si="13"/>
        <v>0</v>
      </c>
    </row>
    <row r="552" spans="2:6" x14ac:dyDescent="0.25">
      <c r="B552" s="1"/>
      <c r="C552" s="1"/>
      <c r="D552" s="1"/>
      <c r="E552" s="1"/>
      <c r="F552" s="24">
        <f t="shared" si="13"/>
        <v>0</v>
      </c>
    </row>
    <row r="553" spans="2:6" x14ac:dyDescent="0.25">
      <c r="B553" s="1"/>
      <c r="C553" s="1"/>
      <c r="D553" s="1"/>
      <c r="E553" s="1"/>
      <c r="F553" s="24">
        <f t="shared" si="13"/>
        <v>0</v>
      </c>
    </row>
    <row r="554" spans="2:6" x14ac:dyDescent="0.25">
      <c r="B554" s="1"/>
      <c r="C554" s="1"/>
      <c r="D554" s="1"/>
      <c r="E554" s="1"/>
      <c r="F554" s="24">
        <f t="shared" si="13"/>
        <v>0</v>
      </c>
    </row>
    <row r="555" spans="2:6" x14ac:dyDescent="0.25">
      <c r="B555" s="1"/>
      <c r="C555" s="1"/>
      <c r="D555" s="1"/>
      <c r="E555" s="1"/>
      <c r="F555" s="24">
        <f t="shared" si="13"/>
        <v>0</v>
      </c>
    </row>
    <row r="556" spans="2:6" x14ac:dyDescent="0.25">
      <c r="B556" s="10" t="s">
        <v>20</v>
      </c>
      <c r="C556" s="1"/>
      <c r="D556" s="1"/>
      <c r="E556" s="4">
        <f>SUM(E544:E555)</f>
        <v>161</v>
      </c>
      <c r="F556" s="22">
        <f>SUM(F544:F555)</f>
        <v>14.766307139188495</v>
      </c>
    </row>
    <row r="557" spans="2:6" x14ac:dyDescent="0.25">
      <c r="B557" s="4" t="s">
        <v>22</v>
      </c>
      <c r="C557" s="6"/>
      <c r="D557" s="6"/>
      <c r="E557" s="6"/>
      <c r="F557" s="23">
        <f>F542+F556</f>
        <v>30.066307139188492</v>
      </c>
    </row>
    <row r="558" spans="2:6" x14ac:dyDescent="0.25">
      <c r="B558" s="7"/>
      <c r="C558" s="7"/>
      <c r="D558" s="7"/>
      <c r="E558" s="7"/>
      <c r="F558" s="7"/>
    </row>
    <row r="559" spans="2:6" x14ac:dyDescent="0.25">
      <c r="B559" s="20"/>
      <c r="C559" s="20"/>
      <c r="D559" s="20"/>
      <c r="E559" s="20"/>
      <c r="F559" s="20"/>
    </row>
    <row r="560" spans="2:6" x14ac:dyDescent="0.25">
      <c r="B560" s="20"/>
      <c r="C560" s="20"/>
      <c r="D560" s="20"/>
      <c r="E560" s="20"/>
      <c r="F560" s="20"/>
    </row>
    <row r="561" spans="2:6" x14ac:dyDescent="0.25">
      <c r="B561" s="39" t="s">
        <v>23</v>
      </c>
      <c r="C561" s="38"/>
      <c r="D561" s="38"/>
      <c r="E561" s="39" t="s">
        <v>24</v>
      </c>
      <c r="F561" s="38"/>
    </row>
    <row r="563" spans="2:6" ht="31.15" customHeight="1" x14ac:dyDescent="0.25">
      <c r="B563" s="37" t="s">
        <v>241</v>
      </c>
      <c r="C563" s="37"/>
      <c r="D563" s="37"/>
      <c r="E563" s="37"/>
      <c r="F563" s="37"/>
    </row>
    <row r="564" spans="2:6" ht="26.45" customHeight="1" x14ac:dyDescent="0.25">
      <c r="B564" s="37" t="s">
        <v>1</v>
      </c>
      <c r="C564" s="37"/>
      <c r="D564" s="37"/>
      <c r="E564" s="37"/>
      <c r="F564" s="37"/>
    </row>
    <row r="565" spans="2:6" x14ac:dyDescent="0.25">
      <c r="B565" s="19" t="s">
        <v>0</v>
      </c>
      <c r="C565" s="19"/>
      <c r="D565" s="19"/>
      <c r="E565" s="19"/>
      <c r="F565" s="19"/>
    </row>
    <row r="566" spans="2:6" x14ac:dyDescent="0.25">
      <c r="B566" s="21"/>
      <c r="C566" s="38" t="s">
        <v>25</v>
      </c>
      <c r="D566" s="38"/>
      <c r="E566" s="21">
        <v>891</v>
      </c>
      <c r="F566" s="21" t="s">
        <v>26</v>
      </c>
    </row>
    <row r="568" spans="2:6" ht="60" x14ac:dyDescent="0.25">
      <c r="B568" s="1" t="s">
        <v>2</v>
      </c>
      <c r="C568" s="1" t="s">
        <v>4</v>
      </c>
      <c r="D568" s="1" t="s">
        <v>3</v>
      </c>
      <c r="E568" s="1" t="s">
        <v>447</v>
      </c>
      <c r="F568" s="1" t="s">
        <v>5</v>
      </c>
    </row>
    <row r="569" spans="2:6" x14ac:dyDescent="0.25">
      <c r="B569" s="1"/>
      <c r="C569" s="1"/>
      <c r="D569" s="1"/>
      <c r="E569" s="1"/>
      <c r="F569" s="1"/>
    </row>
    <row r="570" spans="2:6" x14ac:dyDescent="0.25">
      <c r="B570" s="3" t="s">
        <v>6</v>
      </c>
      <c r="C570" s="1"/>
      <c r="D570" s="1"/>
      <c r="E570" s="1"/>
      <c r="F570" s="1"/>
    </row>
    <row r="571" spans="2:6" x14ac:dyDescent="0.25">
      <c r="B571" s="5" t="s">
        <v>7</v>
      </c>
      <c r="C571" s="1"/>
      <c r="D571" s="1"/>
      <c r="E571" s="1"/>
      <c r="F571" s="5">
        <v>2.0099999999999998</v>
      </c>
    </row>
    <row r="572" spans="2:6" x14ac:dyDescent="0.25">
      <c r="B572" s="5" t="s">
        <v>8</v>
      </c>
      <c r="C572" s="1"/>
      <c r="D572" s="1"/>
      <c r="E572" s="1"/>
      <c r="F572" s="5">
        <v>5.34</v>
      </c>
    </row>
    <row r="573" spans="2:6" x14ac:dyDescent="0.25">
      <c r="B573" s="15" t="s">
        <v>30</v>
      </c>
      <c r="C573" s="1"/>
      <c r="D573" s="1"/>
      <c r="E573" s="1"/>
      <c r="F573" s="5">
        <v>0.06</v>
      </c>
    </row>
    <row r="574" spans="2:6" ht="24.75" x14ac:dyDescent="0.25">
      <c r="B574" s="5" t="s">
        <v>11</v>
      </c>
      <c r="C574" s="1"/>
      <c r="D574" s="1"/>
      <c r="E574" s="1"/>
      <c r="F574" s="5">
        <v>0.55000000000000004</v>
      </c>
    </row>
    <row r="575" spans="2:6" ht="24.75" x14ac:dyDescent="0.25">
      <c r="B575" s="5" t="s">
        <v>12</v>
      </c>
      <c r="C575" s="1"/>
      <c r="D575" s="1"/>
      <c r="E575" s="1"/>
      <c r="F575" s="5">
        <v>0.53</v>
      </c>
    </row>
    <row r="576" spans="2:6" ht="24.75" x14ac:dyDescent="0.25">
      <c r="B576" s="5" t="s">
        <v>13</v>
      </c>
      <c r="C576" s="1"/>
      <c r="D576" s="1"/>
      <c r="E576" s="1"/>
      <c r="F576" s="5">
        <v>0.19</v>
      </c>
    </row>
    <row r="577" spans="2:6" ht="24.75" x14ac:dyDescent="0.25">
      <c r="B577" s="5" t="s">
        <v>9</v>
      </c>
      <c r="C577" s="1"/>
      <c r="D577" s="1"/>
      <c r="E577" s="1"/>
      <c r="F577" s="5">
        <v>0.26</v>
      </c>
    </row>
    <row r="578" spans="2:6" ht="24.75" x14ac:dyDescent="0.25">
      <c r="B578" s="5" t="s">
        <v>15</v>
      </c>
      <c r="C578" s="1"/>
      <c r="D578" s="1"/>
      <c r="E578" s="1"/>
      <c r="F578" s="5">
        <v>0.27</v>
      </c>
    </row>
    <row r="579" spans="2:6" ht="24.75" x14ac:dyDescent="0.25">
      <c r="B579" s="5" t="s">
        <v>16</v>
      </c>
      <c r="C579" s="1"/>
      <c r="D579" s="1"/>
      <c r="E579" s="1"/>
      <c r="F579" s="5">
        <v>0.28999999999999998</v>
      </c>
    </row>
    <row r="580" spans="2:6" x14ac:dyDescent="0.25">
      <c r="B580" s="5" t="s">
        <v>17</v>
      </c>
      <c r="C580" s="1"/>
      <c r="D580" s="1"/>
      <c r="E580" s="1"/>
      <c r="F580" s="5">
        <v>0.32</v>
      </c>
    </row>
    <row r="581" spans="2:6" x14ac:dyDescent="0.25">
      <c r="B581" s="5" t="s">
        <v>18</v>
      </c>
      <c r="C581" s="1"/>
      <c r="D581" s="1"/>
      <c r="E581" s="1"/>
      <c r="F581" s="5">
        <v>1.97</v>
      </c>
    </row>
    <row r="582" spans="2:6" x14ac:dyDescent="0.25">
      <c r="B582" s="5" t="s">
        <v>19</v>
      </c>
      <c r="C582" s="1"/>
      <c r="D582" s="1"/>
      <c r="E582" s="1"/>
      <c r="F582" s="5">
        <v>3.51</v>
      </c>
    </row>
    <row r="583" spans="2:6" x14ac:dyDescent="0.25">
      <c r="B583" s="10" t="s">
        <v>20</v>
      </c>
      <c r="C583" s="1"/>
      <c r="D583" s="1"/>
      <c r="E583" s="1"/>
      <c r="F583" s="22">
        <f>SUM(F571:F582)</f>
        <v>15.299999999999997</v>
      </c>
    </row>
    <row r="584" spans="2:6" x14ac:dyDescent="0.25">
      <c r="B584" s="3" t="s">
        <v>21</v>
      </c>
      <c r="C584" s="1"/>
      <c r="D584" s="1"/>
      <c r="E584" s="1"/>
      <c r="F584" s="1"/>
    </row>
    <row r="585" spans="2:6" x14ac:dyDescent="0.25">
      <c r="B585" s="15" t="s">
        <v>252</v>
      </c>
      <c r="C585" s="1" t="s">
        <v>256</v>
      </c>
      <c r="D585" s="1">
        <v>3</v>
      </c>
      <c r="E585" s="1">
        <v>120</v>
      </c>
      <c r="F585" s="24">
        <f>E585/891*1000/12</f>
        <v>11.223344556677889</v>
      </c>
    </row>
    <row r="586" spans="2:6" x14ac:dyDescent="0.25">
      <c r="B586" s="15" t="s">
        <v>253</v>
      </c>
      <c r="C586" s="1" t="s">
        <v>26</v>
      </c>
      <c r="D586" s="1">
        <v>80</v>
      </c>
      <c r="E586" s="1">
        <v>60</v>
      </c>
      <c r="F586" s="24">
        <f t="shared" ref="F586:F596" si="14">E586/891*1000/12</f>
        <v>5.6116722783389443</v>
      </c>
    </row>
    <row r="587" spans="2:6" x14ac:dyDescent="0.25">
      <c r="B587" s="15" t="s">
        <v>260</v>
      </c>
      <c r="C587" s="1" t="s">
        <v>256</v>
      </c>
      <c r="D587" s="1">
        <v>1</v>
      </c>
      <c r="E587" s="1">
        <v>55</v>
      </c>
      <c r="F587" s="24">
        <f t="shared" si="14"/>
        <v>5.144032921810699</v>
      </c>
    </row>
    <row r="588" spans="2:6" x14ac:dyDescent="0.25">
      <c r="B588" s="1"/>
      <c r="C588" s="1"/>
      <c r="D588" s="1"/>
      <c r="E588" s="1"/>
      <c r="F588" s="24">
        <f t="shared" si="14"/>
        <v>0</v>
      </c>
    </row>
    <row r="589" spans="2:6" x14ac:dyDescent="0.25">
      <c r="B589" s="1"/>
      <c r="C589" s="1"/>
      <c r="D589" s="1"/>
      <c r="E589" s="1"/>
      <c r="F589" s="24">
        <f t="shared" si="14"/>
        <v>0</v>
      </c>
    </row>
    <row r="590" spans="2:6" x14ac:dyDescent="0.25">
      <c r="B590" s="1"/>
      <c r="C590" s="1"/>
      <c r="D590" s="1"/>
      <c r="E590" s="1"/>
      <c r="F590" s="24">
        <f t="shared" si="14"/>
        <v>0</v>
      </c>
    </row>
    <row r="591" spans="2:6" x14ac:dyDescent="0.25">
      <c r="B591" s="1"/>
      <c r="C591" s="1"/>
      <c r="D591" s="1"/>
      <c r="E591" s="1"/>
      <c r="F591" s="24">
        <f t="shared" si="14"/>
        <v>0</v>
      </c>
    </row>
    <row r="592" spans="2:6" x14ac:dyDescent="0.25">
      <c r="B592" s="1"/>
      <c r="C592" s="1"/>
      <c r="D592" s="1"/>
      <c r="E592" s="1"/>
      <c r="F592" s="24">
        <f t="shared" si="14"/>
        <v>0</v>
      </c>
    </row>
    <row r="593" spans="2:6" x14ac:dyDescent="0.25">
      <c r="B593" s="1"/>
      <c r="C593" s="1"/>
      <c r="D593" s="1"/>
      <c r="E593" s="1"/>
      <c r="F593" s="24">
        <f t="shared" si="14"/>
        <v>0</v>
      </c>
    </row>
    <row r="594" spans="2:6" x14ac:dyDescent="0.25">
      <c r="B594" s="1"/>
      <c r="C594" s="1"/>
      <c r="D594" s="1"/>
      <c r="E594" s="1"/>
      <c r="F594" s="24">
        <f t="shared" si="14"/>
        <v>0</v>
      </c>
    </row>
    <row r="595" spans="2:6" x14ac:dyDescent="0.25">
      <c r="B595" s="1"/>
      <c r="C595" s="1"/>
      <c r="D595" s="1"/>
      <c r="E595" s="1"/>
      <c r="F595" s="24">
        <f t="shared" si="14"/>
        <v>0</v>
      </c>
    </row>
    <row r="596" spans="2:6" x14ac:dyDescent="0.25">
      <c r="B596" s="1"/>
      <c r="C596" s="1"/>
      <c r="D596" s="1"/>
      <c r="E596" s="1"/>
      <c r="F596" s="24">
        <f t="shared" si="14"/>
        <v>0</v>
      </c>
    </row>
    <row r="597" spans="2:6" x14ac:dyDescent="0.25">
      <c r="B597" s="10" t="s">
        <v>20</v>
      </c>
      <c r="C597" s="1"/>
      <c r="D597" s="1"/>
      <c r="E597" s="4">
        <f>SUM(E585:E596)</f>
        <v>235</v>
      </c>
      <c r="F597" s="22">
        <f>SUM(F585:F596)</f>
        <v>21.979049756827532</v>
      </c>
    </row>
    <row r="598" spans="2:6" x14ac:dyDescent="0.25">
      <c r="B598" s="4" t="s">
        <v>22</v>
      </c>
      <c r="C598" s="6"/>
      <c r="D598" s="6"/>
      <c r="E598" s="6"/>
      <c r="F598" s="23">
        <f>F583+F597</f>
        <v>37.279049756827533</v>
      </c>
    </row>
    <row r="599" spans="2:6" x14ac:dyDescent="0.25">
      <c r="B599" s="7"/>
      <c r="C599" s="7"/>
      <c r="D599" s="7"/>
      <c r="E599" s="7"/>
      <c r="F599" s="7"/>
    </row>
    <row r="600" spans="2:6" x14ac:dyDescent="0.25">
      <c r="B600" s="20"/>
      <c r="C600" s="20"/>
      <c r="D600" s="20"/>
      <c r="E600" s="20"/>
      <c r="F600" s="20"/>
    </row>
    <row r="601" spans="2:6" x14ac:dyDescent="0.25">
      <c r="B601" s="20"/>
      <c r="C601" s="20"/>
      <c r="D601" s="20"/>
      <c r="E601" s="20"/>
      <c r="F601" s="20"/>
    </row>
    <row r="602" spans="2:6" x14ac:dyDescent="0.25">
      <c r="B602" s="39" t="s">
        <v>23</v>
      </c>
      <c r="C602" s="38"/>
      <c r="D602" s="38"/>
      <c r="E602" s="39" t="s">
        <v>24</v>
      </c>
      <c r="F602" s="38"/>
    </row>
    <row r="604" spans="2:6" ht="27" customHeight="1" x14ac:dyDescent="0.25">
      <c r="B604" s="37" t="s">
        <v>242</v>
      </c>
      <c r="C604" s="37"/>
      <c r="D604" s="37"/>
      <c r="E604" s="37"/>
      <c r="F604" s="37"/>
    </row>
    <row r="605" spans="2:6" ht="34.9" customHeight="1" x14ac:dyDescent="0.25">
      <c r="B605" s="37" t="s">
        <v>1</v>
      </c>
      <c r="C605" s="37"/>
      <c r="D605" s="37"/>
      <c r="E605" s="37"/>
      <c r="F605" s="37"/>
    </row>
    <row r="606" spans="2:6" x14ac:dyDescent="0.25">
      <c r="B606" s="19" t="s">
        <v>0</v>
      </c>
      <c r="C606" s="19"/>
      <c r="D606" s="19"/>
      <c r="E606" s="19"/>
      <c r="F606" s="19"/>
    </row>
    <row r="607" spans="2:6" x14ac:dyDescent="0.25">
      <c r="B607" s="21"/>
      <c r="C607" s="38" t="s">
        <v>25</v>
      </c>
      <c r="D607" s="38"/>
      <c r="E607" s="21">
        <v>910.1</v>
      </c>
      <c r="F607" s="21" t="s">
        <v>26</v>
      </c>
    </row>
    <row r="609" spans="2:6" ht="60" x14ac:dyDescent="0.25">
      <c r="B609" s="1" t="s">
        <v>2</v>
      </c>
      <c r="C609" s="1" t="s">
        <v>4</v>
      </c>
      <c r="D609" s="1" t="s">
        <v>3</v>
      </c>
      <c r="E609" s="1" t="s">
        <v>447</v>
      </c>
      <c r="F609" s="1" t="s">
        <v>5</v>
      </c>
    </row>
    <row r="610" spans="2:6" x14ac:dyDescent="0.25">
      <c r="B610" s="1"/>
      <c r="C610" s="1"/>
      <c r="D610" s="1"/>
      <c r="E610" s="1"/>
      <c r="F610" s="1"/>
    </row>
    <row r="611" spans="2:6" x14ac:dyDescent="0.25">
      <c r="B611" s="3" t="s">
        <v>6</v>
      </c>
      <c r="C611" s="1"/>
      <c r="D611" s="1"/>
      <c r="E611" s="1"/>
      <c r="F611" s="1"/>
    </row>
    <row r="612" spans="2:6" x14ac:dyDescent="0.25">
      <c r="B612" s="5" t="s">
        <v>7</v>
      </c>
      <c r="C612" s="1"/>
      <c r="D612" s="1"/>
      <c r="E612" s="1"/>
      <c r="F612" s="5">
        <v>2.0099999999999998</v>
      </c>
    </row>
    <row r="613" spans="2:6" x14ac:dyDescent="0.25">
      <c r="B613" s="5" t="s">
        <v>8</v>
      </c>
      <c r="C613" s="1"/>
      <c r="D613" s="1"/>
      <c r="E613" s="1"/>
      <c r="F613" s="5">
        <v>5.34</v>
      </c>
    </row>
    <row r="614" spans="2:6" ht="24.75" x14ac:dyDescent="0.25">
      <c r="B614" s="5" t="s">
        <v>11</v>
      </c>
      <c r="C614" s="1"/>
      <c r="D614" s="1"/>
      <c r="E614" s="1"/>
      <c r="F614" s="5">
        <v>0.55000000000000004</v>
      </c>
    </row>
    <row r="615" spans="2:6" ht="24.75" x14ac:dyDescent="0.25">
      <c r="B615" s="5" t="s">
        <v>12</v>
      </c>
      <c r="C615" s="1"/>
      <c r="D615" s="1"/>
      <c r="E615" s="1"/>
      <c r="F615" s="5">
        <v>0.53</v>
      </c>
    </row>
    <row r="616" spans="2:6" ht="24.75" x14ac:dyDescent="0.25">
      <c r="B616" s="5" t="s">
        <v>13</v>
      </c>
      <c r="C616" s="1"/>
      <c r="D616" s="1"/>
      <c r="E616" s="1"/>
      <c r="F616" s="5">
        <v>0.19</v>
      </c>
    </row>
    <row r="617" spans="2:6" ht="24.75" x14ac:dyDescent="0.25">
      <c r="B617" s="5" t="s">
        <v>9</v>
      </c>
      <c r="C617" s="1"/>
      <c r="D617" s="1"/>
      <c r="E617" s="1"/>
      <c r="F617" s="5">
        <v>0.26</v>
      </c>
    </row>
    <row r="618" spans="2:6" ht="24.75" x14ac:dyDescent="0.25">
      <c r="B618" s="5" t="s">
        <v>15</v>
      </c>
      <c r="C618" s="1"/>
      <c r="D618" s="1"/>
      <c r="E618" s="1"/>
      <c r="F618" s="5">
        <v>0.27</v>
      </c>
    </row>
    <row r="619" spans="2:6" ht="24.75" x14ac:dyDescent="0.25">
      <c r="B619" s="5" t="s">
        <v>16</v>
      </c>
      <c r="C619" s="1"/>
      <c r="D619" s="1"/>
      <c r="E619" s="1"/>
      <c r="F619" s="5">
        <v>0.28999999999999998</v>
      </c>
    </row>
    <row r="620" spans="2:6" x14ac:dyDescent="0.25">
      <c r="B620" s="5" t="s">
        <v>17</v>
      </c>
      <c r="C620" s="1"/>
      <c r="D620" s="1"/>
      <c r="E620" s="1"/>
      <c r="F620" s="5">
        <v>0.32</v>
      </c>
    </row>
    <row r="621" spans="2:6" x14ac:dyDescent="0.25">
      <c r="B621" s="5" t="s">
        <v>18</v>
      </c>
      <c r="C621" s="1"/>
      <c r="D621" s="1"/>
      <c r="E621" s="1"/>
      <c r="F621" s="5">
        <v>1.97</v>
      </c>
    </row>
    <row r="622" spans="2:6" x14ac:dyDescent="0.25">
      <c r="B622" s="5" t="s">
        <v>19</v>
      </c>
      <c r="C622" s="1"/>
      <c r="D622" s="1"/>
      <c r="E622" s="1"/>
      <c r="F622" s="5">
        <v>3.51</v>
      </c>
    </row>
    <row r="623" spans="2:6" x14ac:dyDescent="0.25">
      <c r="B623" s="10" t="s">
        <v>20</v>
      </c>
      <c r="C623" s="1"/>
      <c r="D623" s="1"/>
      <c r="E623" s="1"/>
      <c r="F623" s="22">
        <f>SUM(F612:F622)</f>
        <v>15.239999999999998</v>
      </c>
    </row>
    <row r="624" spans="2:6" x14ac:dyDescent="0.25">
      <c r="B624" s="3" t="s">
        <v>21</v>
      </c>
      <c r="C624" s="1"/>
      <c r="D624" s="1"/>
      <c r="E624" s="1"/>
      <c r="F624" s="1"/>
    </row>
    <row r="625" spans="2:6" x14ac:dyDescent="0.25">
      <c r="B625" s="15" t="s">
        <v>252</v>
      </c>
      <c r="C625" s="1" t="s">
        <v>256</v>
      </c>
      <c r="D625" s="1">
        <v>3</v>
      </c>
      <c r="E625" s="1">
        <v>120</v>
      </c>
      <c r="F625" s="24">
        <f>E625/910.1*1000/12</f>
        <v>10.98780353807274</v>
      </c>
    </row>
    <row r="626" spans="2:6" x14ac:dyDescent="0.25">
      <c r="B626" s="15" t="s">
        <v>264</v>
      </c>
      <c r="C626" s="1" t="s">
        <v>265</v>
      </c>
      <c r="D626" s="1">
        <v>1</v>
      </c>
      <c r="E626" s="1">
        <v>15</v>
      </c>
      <c r="F626" s="24">
        <f t="shared" ref="F626:F636" si="15">E626/910.1*1000/12</f>
        <v>1.3734754422590925</v>
      </c>
    </row>
    <row r="627" spans="2:6" x14ac:dyDescent="0.25">
      <c r="B627" s="15" t="s">
        <v>253</v>
      </c>
      <c r="C627" s="1" t="s">
        <v>26</v>
      </c>
      <c r="D627" s="1">
        <v>108</v>
      </c>
      <c r="E627" s="1">
        <v>80</v>
      </c>
      <c r="F627" s="24">
        <f t="shared" si="15"/>
        <v>7.3252023587151589</v>
      </c>
    </row>
    <row r="628" spans="2:6" x14ac:dyDescent="0.25">
      <c r="B628" s="15" t="s">
        <v>255</v>
      </c>
      <c r="C628" s="1" t="s">
        <v>26</v>
      </c>
      <c r="D628" s="1">
        <v>2.2000000000000002</v>
      </c>
      <c r="E628" s="1">
        <v>6</v>
      </c>
      <c r="F628" s="24">
        <f t="shared" si="15"/>
        <v>0.5493901769036369</v>
      </c>
    </row>
    <row r="629" spans="2:6" x14ac:dyDescent="0.25">
      <c r="B629" s="15" t="s">
        <v>260</v>
      </c>
      <c r="C629" s="1" t="s">
        <v>256</v>
      </c>
      <c r="D629" s="1">
        <v>3</v>
      </c>
      <c r="E629" s="1">
        <v>165</v>
      </c>
      <c r="F629" s="24">
        <f t="shared" si="15"/>
        <v>15.108229864850017</v>
      </c>
    </row>
    <row r="630" spans="2:6" x14ac:dyDescent="0.25">
      <c r="B630" s="1"/>
      <c r="C630" s="1"/>
      <c r="D630" s="1"/>
      <c r="E630" s="1"/>
      <c r="F630" s="24">
        <f t="shared" si="15"/>
        <v>0</v>
      </c>
    </row>
    <row r="631" spans="2:6" x14ac:dyDescent="0.25">
      <c r="B631" s="1"/>
      <c r="C631" s="1"/>
      <c r="D631" s="1"/>
      <c r="E631" s="1"/>
      <c r="F631" s="24">
        <f t="shared" si="15"/>
        <v>0</v>
      </c>
    </row>
    <row r="632" spans="2:6" x14ac:dyDescent="0.25">
      <c r="B632" s="1"/>
      <c r="C632" s="1"/>
      <c r="D632" s="1"/>
      <c r="E632" s="1"/>
      <c r="F632" s="24">
        <f t="shared" si="15"/>
        <v>0</v>
      </c>
    </row>
    <row r="633" spans="2:6" x14ac:dyDescent="0.25">
      <c r="B633" s="1"/>
      <c r="C633" s="1"/>
      <c r="D633" s="1"/>
      <c r="E633" s="1"/>
      <c r="F633" s="24">
        <f t="shared" si="15"/>
        <v>0</v>
      </c>
    </row>
    <row r="634" spans="2:6" x14ac:dyDescent="0.25">
      <c r="B634" s="1"/>
      <c r="C634" s="1"/>
      <c r="D634" s="1"/>
      <c r="E634" s="1"/>
      <c r="F634" s="24">
        <f t="shared" si="15"/>
        <v>0</v>
      </c>
    </row>
    <row r="635" spans="2:6" x14ac:dyDescent="0.25">
      <c r="B635" s="1"/>
      <c r="C635" s="1"/>
      <c r="D635" s="1"/>
      <c r="E635" s="1"/>
      <c r="F635" s="24">
        <f t="shared" si="15"/>
        <v>0</v>
      </c>
    </row>
    <row r="636" spans="2:6" x14ac:dyDescent="0.25">
      <c r="B636" s="1"/>
      <c r="C636" s="1"/>
      <c r="D636" s="1"/>
      <c r="E636" s="1"/>
      <c r="F636" s="24">
        <f t="shared" si="15"/>
        <v>0</v>
      </c>
    </row>
    <row r="637" spans="2:6" x14ac:dyDescent="0.25">
      <c r="B637" s="10" t="s">
        <v>20</v>
      </c>
      <c r="C637" s="1"/>
      <c r="D637" s="1"/>
      <c r="E637" s="4">
        <f>SUM(E625:E636)</f>
        <v>386</v>
      </c>
      <c r="F637" s="22">
        <f>SUM(F625:F636)</f>
        <v>35.344101380800645</v>
      </c>
    </row>
    <row r="638" spans="2:6" x14ac:dyDescent="0.25">
      <c r="B638" s="4" t="s">
        <v>22</v>
      </c>
      <c r="C638" s="6"/>
      <c r="D638" s="6"/>
      <c r="E638" s="6"/>
      <c r="F638" s="23">
        <f>F623+F637</f>
        <v>50.584101380800647</v>
      </c>
    </row>
    <row r="639" spans="2:6" x14ac:dyDescent="0.25">
      <c r="B639" s="7"/>
      <c r="C639" s="7"/>
      <c r="D639" s="7"/>
      <c r="E639" s="7"/>
      <c r="F639" s="7"/>
    </row>
    <row r="640" spans="2:6" x14ac:dyDescent="0.25">
      <c r="B640" s="20"/>
      <c r="C640" s="20"/>
      <c r="D640" s="20"/>
      <c r="E640" s="20"/>
      <c r="F640" s="20"/>
    </row>
    <row r="641" spans="2:6" x14ac:dyDescent="0.25">
      <c r="B641" s="20"/>
      <c r="C641" s="20"/>
      <c r="D641" s="20"/>
      <c r="E641" s="20"/>
      <c r="F641" s="20"/>
    </row>
    <row r="642" spans="2:6" x14ac:dyDescent="0.25">
      <c r="B642" s="39" t="s">
        <v>23</v>
      </c>
      <c r="C642" s="38"/>
      <c r="D642" s="38"/>
      <c r="E642" s="39" t="s">
        <v>24</v>
      </c>
      <c r="F642" s="38"/>
    </row>
    <row r="644" spans="2:6" ht="24.6" customHeight="1" x14ac:dyDescent="0.25">
      <c r="B644" s="37" t="s">
        <v>243</v>
      </c>
      <c r="C644" s="37"/>
      <c r="D644" s="37"/>
      <c r="E644" s="37"/>
      <c r="F644" s="37"/>
    </row>
    <row r="645" spans="2:6" ht="28.15" customHeight="1" x14ac:dyDescent="0.25">
      <c r="B645" s="37" t="s">
        <v>1</v>
      </c>
      <c r="C645" s="37"/>
      <c r="D645" s="37"/>
      <c r="E645" s="37"/>
      <c r="F645" s="37"/>
    </row>
    <row r="646" spans="2:6" x14ac:dyDescent="0.25">
      <c r="B646" s="19" t="s">
        <v>0</v>
      </c>
      <c r="C646" s="19"/>
      <c r="D646" s="19"/>
      <c r="E646" s="19"/>
      <c r="F646" s="19"/>
    </row>
    <row r="647" spans="2:6" x14ac:dyDescent="0.25">
      <c r="B647" s="21"/>
      <c r="C647" s="38" t="s">
        <v>25</v>
      </c>
      <c r="D647" s="38"/>
      <c r="E647" s="21">
        <v>919.9</v>
      </c>
      <c r="F647" s="21" t="s">
        <v>26</v>
      </c>
    </row>
    <row r="649" spans="2:6" ht="60" x14ac:dyDescent="0.25">
      <c r="B649" s="1" t="s">
        <v>2</v>
      </c>
      <c r="C649" s="1" t="s">
        <v>4</v>
      </c>
      <c r="D649" s="1" t="s">
        <v>3</v>
      </c>
      <c r="E649" s="1" t="s">
        <v>447</v>
      </c>
      <c r="F649" s="1" t="s">
        <v>5</v>
      </c>
    </row>
    <row r="650" spans="2:6" x14ac:dyDescent="0.25">
      <c r="B650" s="1"/>
      <c r="C650" s="1"/>
      <c r="D650" s="1"/>
      <c r="E650" s="1"/>
      <c r="F650" s="1"/>
    </row>
    <row r="651" spans="2:6" x14ac:dyDescent="0.25">
      <c r="B651" s="3" t="s">
        <v>6</v>
      </c>
      <c r="C651" s="1"/>
      <c r="D651" s="1"/>
      <c r="E651" s="1"/>
      <c r="F651" s="1"/>
    </row>
    <row r="652" spans="2:6" x14ac:dyDescent="0.25">
      <c r="B652" s="5" t="s">
        <v>7</v>
      </c>
      <c r="C652" s="1"/>
      <c r="D652" s="1"/>
      <c r="E652" s="1"/>
      <c r="F652" s="5">
        <v>2.0099999999999998</v>
      </c>
    </row>
    <row r="653" spans="2:6" x14ac:dyDescent="0.25">
      <c r="B653" s="5" t="s">
        <v>8</v>
      </c>
      <c r="C653" s="1"/>
      <c r="D653" s="1"/>
      <c r="E653" s="1"/>
      <c r="F653" s="5">
        <v>5.34</v>
      </c>
    </row>
    <row r="654" spans="2:6" ht="24.75" x14ac:dyDescent="0.25">
      <c r="B654" s="5" t="s">
        <v>11</v>
      </c>
      <c r="C654" s="1"/>
      <c r="D654" s="1"/>
      <c r="E654" s="1"/>
      <c r="F654" s="5">
        <v>0.55000000000000004</v>
      </c>
    </row>
    <row r="655" spans="2:6" ht="24.75" x14ac:dyDescent="0.25">
      <c r="B655" s="5" t="s">
        <v>12</v>
      </c>
      <c r="C655" s="1"/>
      <c r="D655" s="1"/>
      <c r="E655" s="1"/>
      <c r="F655" s="5">
        <v>0.53</v>
      </c>
    </row>
    <row r="656" spans="2:6" ht="24.75" x14ac:dyDescent="0.25">
      <c r="B656" s="5" t="s">
        <v>13</v>
      </c>
      <c r="C656" s="1"/>
      <c r="D656" s="1"/>
      <c r="E656" s="1"/>
      <c r="F656" s="5">
        <v>0.19</v>
      </c>
    </row>
    <row r="657" spans="2:6" ht="24.75" x14ac:dyDescent="0.25">
      <c r="B657" s="5" t="s">
        <v>9</v>
      </c>
      <c r="C657" s="1"/>
      <c r="D657" s="1"/>
      <c r="E657" s="1"/>
      <c r="F657" s="5">
        <v>0.26</v>
      </c>
    </row>
    <row r="658" spans="2:6" ht="24.75" x14ac:dyDescent="0.25">
      <c r="B658" s="5" t="s">
        <v>15</v>
      </c>
      <c r="C658" s="1"/>
      <c r="D658" s="1"/>
      <c r="E658" s="1"/>
      <c r="F658" s="5">
        <v>0.27</v>
      </c>
    </row>
    <row r="659" spans="2:6" ht="24.75" x14ac:dyDescent="0.25">
      <c r="B659" s="5" t="s">
        <v>16</v>
      </c>
      <c r="C659" s="1"/>
      <c r="D659" s="1"/>
      <c r="E659" s="1"/>
      <c r="F659" s="5">
        <v>0.28999999999999998</v>
      </c>
    </row>
    <row r="660" spans="2:6" x14ac:dyDescent="0.25">
      <c r="B660" s="5" t="s">
        <v>17</v>
      </c>
      <c r="C660" s="1"/>
      <c r="D660" s="1"/>
      <c r="E660" s="1"/>
      <c r="F660" s="5">
        <v>0.32</v>
      </c>
    </row>
    <row r="661" spans="2:6" x14ac:dyDescent="0.25">
      <c r="B661" s="5" t="s">
        <v>18</v>
      </c>
      <c r="C661" s="1"/>
      <c r="D661" s="1"/>
      <c r="E661" s="1"/>
      <c r="F661" s="5">
        <v>1.97</v>
      </c>
    </row>
    <row r="662" spans="2:6" x14ac:dyDescent="0.25">
      <c r="B662" s="5" t="s">
        <v>19</v>
      </c>
      <c r="C662" s="1"/>
      <c r="D662" s="1"/>
      <c r="E662" s="1"/>
      <c r="F662" s="5">
        <v>3.51</v>
      </c>
    </row>
    <row r="663" spans="2:6" x14ac:dyDescent="0.25">
      <c r="B663" s="10" t="s">
        <v>20</v>
      </c>
      <c r="C663" s="1"/>
      <c r="D663" s="1"/>
      <c r="E663" s="1"/>
      <c r="F663" s="22">
        <f>SUM(F652:F662)</f>
        <v>15.239999999999998</v>
      </c>
    </row>
    <row r="664" spans="2:6" x14ac:dyDescent="0.25">
      <c r="B664" s="3" t="s">
        <v>21</v>
      </c>
      <c r="C664" s="1"/>
      <c r="D664" s="1"/>
      <c r="E664" s="1"/>
      <c r="F664" s="1"/>
    </row>
    <row r="665" spans="2:6" x14ac:dyDescent="0.25">
      <c r="B665" s="15" t="s">
        <v>252</v>
      </c>
      <c r="C665" s="1" t="s">
        <v>256</v>
      </c>
      <c r="D665" s="1">
        <v>3</v>
      </c>
      <c r="E665" s="1">
        <v>120</v>
      </c>
      <c r="F665" s="24">
        <f>E665/919.9*1000/12</f>
        <v>10.870746820306556</v>
      </c>
    </row>
    <row r="666" spans="2:6" x14ac:dyDescent="0.25">
      <c r="B666" s="15" t="s">
        <v>269</v>
      </c>
      <c r="C666" s="1" t="s">
        <v>261</v>
      </c>
      <c r="D666" s="1">
        <v>3</v>
      </c>
      <c r="E666" s="1">
        <v>15</v>
      </c>
      <c r="F666" s="24">
        <f t="shared" ref="F666:F676" si="16">E666/919.9*1000/12</f>
        <v>1.3588433525383194</v>
      </c>
    </row>
    <row r="667" spans="2:6" x14ac:dyDescent="0.25">
      <c r="B667" s="15" t="s">
        <v>253</v>
      </c>
      <c r="C667" s="1" t="s">
        <v>26</v>
      </c>
      <c r="D667" s="1">
        <v>96</v>
      </c>
      <c r="E667" s="1">
        <v>70</v>
      </c>
      <c r="F667" s="24">
        <f t="shared" si="16"/>
        <v>6.3412689785121579</v>
      </c>
    </row>
    <row r="668" spans="2:6" x14ac:dyDescent="0.25">
      <c r="B668" s="15" t="s">
        <v>258</v>
      </c>
      <c r="C668" s="1" t="s">
        <v>261</v>
      </c>
      <c r="D668" s="1">
        <v>12</v>
      </c>
      <c r="E668" s="1">
        <v>16</v>
      </c>
      <c r="F668" s="24">
        <f t="shared" si="16"/>
        <v>1.4494329093742075</v>
      </c>
    </row>
    <row r="669" spans="2:6" x14ac:dyDescent="0.25">
      <c r="B669" s="15" t="s">
        <v>255</v>
      </c>
      <c r="C669" s="1" t="s">
        <v>26</v>
      </c>
      <c r="D669" s="1">
        <v>2.2000000000000002</v>
      </c>
      <c r="E669" s="1">
        <v>5.5</v>
      </c>
      <c r="F669" s="24">
        <f t="shared" si="16"/>
        <v>0.49824256259738381</v>
      </c>
    </row>
    <row r="670" spans="2:6" x14ac:dyDescent="0.25">
      <c r="B670" s="1"/>
      <c r="C670" s="1"/>
      <c r="D670" s="1"/>
      <c r="E670" s="1"/>
      <c r="F670" s="24">
        <f t="shared" si="16"/>
        <v>0</v>
      </c>
    </row>
    <row r="671" spans="2:6" x14ac:dyDescent="0.25">
      <c r="B671" s="1"/>
      <c r="C671" s="1"/>
      <c r="D671" s="1"/>
      <c r="E671" s="1"/>
      <c r="F671" s="24">
        <f t="shared" si="16"/>
        <v>0</v>
      </c>
    </row>
    <row r="672" spans="2:6" x14ac:dyDescent="0.25">
      <c r="B672" s="1"/>
      <c r="C672" s="1"/>
      <c r="D672" s="1"/>
      <c r="E672" s="1"/>
      <c r="F672" s="24">
        <f t="shared" si="16"/>
        <v>0</v>
      </c>
    </row>
    <row r="673" spans="2:6" x14ac:dyDescent="0.25">
      <c r="B673" s="1"/>
      <c r="C673" s="1"/>
      <c r="D673" s="1"/>
      <c r="E673" s="1"/>
      <c r="F673" s="24">
        <f t="shared" si="16"/>
        <v>0</v>
      </c>
    </row>
    <row r="674" spans="2:6" x14ac:dyDescent="0.25">
      <c r="B674" s="1"/>
      <c r="C674" s="1"/>
      <c r="D674" s="1"/>
      <c r="E674" s="1"/>
      <c r="F674" s="24">
        <f t="shared" si="16"/>
        <v>0</v>
      </c>
    </row>
    <row r="675" spans="2:6" x14ac:dyDescent="0.25">
      <c r="B675" s="1"/>
      <c r="C675" s="1"/>
      <c r="D675" s="1"/>
      <c r="E675" s="1"/>
      <c r="F675" s="24">
        <f t="shared" si="16"/>
        <v>0</v>
      </c>
    </row>
    <row r="676" spans="2:6" x14ac:dyDescent="0.25">
      <c r="B676" s="1"/>
      <c r="C676" s="1"/>
      <c r="D676" s="1"/>
      <c r="E676" s="1"/>
      <c r="F676" s="24">
        <f t="shared" si="16"/>
        <v>0</v>
      </c>
    </row>
    <row r="677" spans="2:6" x14ac:dyDescent="0.25">
      <c r="B677" s="10" t="s">
        <v>20</v>
      </c>
      <c r="C677" s="1"/>
      <c r="D677" s="1"/>
      <c r="E677" s="4">
        <f>SUM(E665:E676)</f>
        <v>226.5</v>
      </c>
      <c r="F677" s="22">
        <f>SUM(F665:F676)</f>
        <v>20.518534623328623</v>
      </c>
    </row>
    <row r="678" spans="2:6" x14ac:dyDescent="0.25">
      <c r="B678" s="4" t="s">
        <v>22</v>
      </c>
      <c r="C678" s="6"/>
      <c r="D678" s="6"/>
      <c r="E678" s="6"/>
      <c r="F678" s="23">
        <f>F663+F677</f>
        <v>35.758534623328622</v>
      </c>
    </row>
    <row r="679" spans="2:6" x14ac:dyDescent="0.25">
      <c r="B679" s="7"/>
      <c r="C679" s="7"/>
      <c r="D679" s="7"/>
      <c r="E679" s="7"/>
      <c r="F679" s="7"/>
    </row>
    <row r="680" spans="2:6" x14ac:dyDescent="0.25">
      <c r="B680" s="20"/>
      <c r="C680" s="20"/>
      <c r="D680" s="20"/>
      <c r="E680" s="20"/>
      <c r="F680" s="20"/>
    </row>
    <row r="681" spans="2:6" x14ac:dyDescent="0.25">
      <c r="B681" s="20"/>
      <c r="C681" s="20"/>
      <c r="D681" s="20"/>
      <c r="E681" s="20"/>
      <c r="F681" s="20"/>
    </row>
    <row r="682" spans="2:6" x14ac:dyDescent="0.25">
      <c r="B682" s="39" t="s">
        <v>23</v>
      </c>
      <c r="C682" s="38"/>
      <c r="D682" s="38"/>
      <c r="E682" s="39" t="s">
        <v>24</v>
      </c>
      <c r="F682" s="38"/>
    </row>
    <row r="684" spans="2:6" ht="30" customHeight="1" x14ac:dyDescent="0.25">
      <c r="B684" s="37" t="s">
        <v>244</v>
      </c>
      <c r="C684" s="37"/>
      <c r="D684" s="37"/>
      <c r="E684" s="37"/>
      <c r="F684" s="37"/>
    </row>
    <row r="685" spans="2:6" ht="25.9" customHeight="1" x14ac:dyDescent="0.25">
      <c r="B685" s="37" t="s">
        <v>1</v>
      </c>
      <c r="C685" s="37"/>
      <c r="D685" s="37"/>
      <c r="E685" s="37"/>
      <c r="F685" s="37"/>
    </row>
    <row r="686" spans="2:6" x14ac:dyDescent="0.25">
      <c r="B686" s="19" t="s">
        <v>0</v>
      </c>
      <c r="C686" s="19"/>
      <c r="D686" s="19"/>
      <c r="E686" s="19"/>
      <c r="F686" s="19"/>
    </row>
    <row r="687" spans="2:6" x14ac:dyDescent="0.25">
      <c r="B687" s="21"/>
      <c r="C687" s="38" t="s">
        <v>25</v>
      </c>
      <c r="D687" s="38"/>
      <c r="E687" s="21">
        <v>898.7</v>
      </c>
      <c r="F687" s="21" t="s">
        <v>26</v>
      </c>
    </row>
    <row r="689" spans="2:6" ht="60" x14ac:dyDescent="0.25">
      <c r="B689" s="1" t="s">
        <v>2</v>
      </c>
      <c r="C689" s="1" t="s">
        <v>4</v>
      </c>
      <c r="D689" s="1" t="s">
        <v>3</v>
      </c>
      <c r="E689" s="1" t="s">
        <v>447</v>
      </c>
      <c r="F689" s="1" t="s">
        <v>5</v>
      </c>
    </row>
    <row r="690" spans="2:6" x14ac:dyDescent="0.25">
      <c r="B690" s="1"/>
      <c r="C690" s="1"/>
      <c r="D690" s="1"/>
      <c r="E690" s="1"/>
      <c r="F690" s="1"/>
    </row>
    <row r="691" spans="2:6" x14ac:dyDescent="0.25">
      <c r="B691" s="3" t="s">
        <v>6</v>
      </c>
      <c r="C691" s="1"/>
      <c r="D691" s="1"/>
      <c r="E691" s="1"/>
      <c r="F691" s="1"/>
    </row>
    <row r="692" spans="2:6" x14ac:dyDescent="0.25">
      <c r="B692" s="5" t="s">
        <v>7</v>
      </c>
      <c r="C692" s="1"/>
      <c r="D692" s="1"/>
      <c r="E692" s="1"/>
      <c r="F692" s="5">
        <v>2.0099999999999998</v>
      </c>
    </row>
    <row r="693" spans="2:6" x14ac:dyDescent="0.25">
      <c r="B693" s="5" t="s">
        <v>8</v>
      </c>
      <c r="C693" s="1"/>
      <c r="D693" s="1"/>
      <c r="E693" s="1"/>
      <c r="F693" s="5">
        <v>5.34</v>
      </c>
    </row>
    <row r="694" spans="2:6" ht="24.75" x14ac:dyDescent="0.25">
      <c r="B694" s="5" t="s">
        <v>11</v>
      </c>
      <c r="C694" s="1"/>
      <c r="D694" s="1"/>
      <c r="E694" s="1"/>
      <c r="F694" s="5">
        <v>0.55000000000000004</v>
      </c>
    </row>
    <row r="695" spans="2:6" ht="24.75" x14ac:dyDescent="0.25">
      <c r="B695" s="5" t="s">
        <v>12</v>
      </c>
      <c r="C695" s="1"/>
      <c r="D695" s="1"/>
      <c r="E695" s="1"/>
      <c r="F695" s="5">
        <v>0.53</v>
      </c>
    </row>
    <row r="696" spans="2:6" ht="24.75" x14ac:dyDescent="0.25">
      <c r="B696" s="5" t="s">
        <v>13</v>
      </c>
      <c r="C696" s="1"/>
      <c r="D696" s="1"/>
      <c r="E696" s="1"/>
      <c r="F696" s="5">
        <v>0.19</v>
      </c>
    </row>
    <row r="697" spans="2:6" ht="24.75" x14ac:dyDescent="0.25">
      <c r="B697" s="5" t="s">
        <v>9</v>
      </c>
      <c r="C697" s="1"/>
      <c r="D697" s="1"/>
      <c r="E697" s="1"/>
      <c r="F697" s="5">
        <v>0.26</v>
      </c>
    </row>
    <row r="698" spans="2:6" ht="24.75" x14ac:dyDescent="0.25">
      <c r="B698" s="5" t="s">
        <v>15</v>
      </c>
      <c r="C698" s="1"/>
      <c r="D698" s="1"/>
      <c r="E698" s="1"/>
      <c r="F698" s="5">
        <v>0.27</v>
      </c>
    </row>
    <row r="699" spans="2:6" ht="24.75" x14ac:dyDescent="0.25">
      <c r="B699" s="5" t="s">
        <v>16</v>
      </c>
      <c r="C699" s="1"/>
      <c r="D699" s="1"/>
      <c r="E699" s="1"/>
      <c r="F699" s="5">
        <v>0.28999999999999998</v>
      </c>
    </row>
    <row r="700" spans="2:6" x14ac:dyDescent="0.25">
      <c r="B700" s="5" t="s">
        <v>17</v>
      </c>
      <c r="C700" s="1"/>
      <c r="D700" s="1"/>
      <c r="E700" s="1"/>
      <c r="F700" s="5">
        <v>0.32</v>
      </c>
    </row>
    <row r="701" spans="2:6" x14ac:dyDescent="0.25">
      <c r="B701" s="5" t="s">
        <v>18</v>
      </c>
      <c r="C701" s="1"/>
      <c r="D701" s="1"/>
      <c r="E701" s="1"/>
      <c r="F701" s="5">
        <v>1.97</v>
      </c>
    </row>
    <row r="702" spans="2:6" x14ac:dyDescent="0.25">
      <c r="B702" s="5" t="s">
        <v>19</v>
      </c>
      <c r="C702" s="1"/>
      <c r="D702" s="1"/>
      <c r="E702" s="1"/>
      <c r="F702" s="5">
        <v>3.51</v>
      </c>
    </row>
    <row r="703" spans="2:6" x14ac:dyDescent="0.25">
      <c r="B703" s="10" t="s">
        <v>20</v>
      </c>
      <c r="C703" s="1"/>
      <c r="D703" s="1"/>
      <c r="E703" s="1"/>
      <c r="F703" s="22">
        <f>SUM(F692:F702)</f>
        <v>15.239999999999998</v>
      </c>
    </row>
    <row r="704" spans="2:6" x14ac:dyDescent="0.25">
      <c r="B704" s="3" t="s">
        <v>21</v>
      </c>
      <c r="C704" s="1"/>
      <c r="D704" s="1"/>
      <c r="E704" s="1"/>
      <c r="F704" s="1"/>
    </row>
    <row r="705" spans="2:6" x14ac:dyDescent="0.25">
      <c r="B705" s="15" t="s">
        <v>252</v>
      </c>
      <c r="C705" s="1" t="s">
        <v>256</v>
      </c>
      <c r="D705" s="1">
        <v>3</v>
      </c>
      <c r="E705" s="1">
        <v>120</v>
      </c>
      <c r="F705" s="24">
        <f>E705/898.7*1000/12</f>
        <v>11.127183709803049</v>
      </c>
    </row>
    <row r="706" spans="2:6" x14ac:dyDescent="0.25">
      <c r="B706" s="15" t="s">
        <v>269</v>
      </c>
      <c r="C706" s="1" t="s">
        <v>261</v>
      </c>
      <c r="D706" s="1">
        <v>4</v>
      </c>
      <c r="E706" s="1">
        <v>20</v>
      </c>
      <c r="F706" s="24">
        <f t="shared" ref="F706:F716" si="17">E706/898.7*1000/12</f>
        <v>1.8545306183005081</v>
      </c>
    </row>
    <row r="707" spans="2:6" x14ac:dyDescent="0.25">
      <c r="B707" s="15" t="s">
        <v>255</v>
      </c>
      <c r="C707" s="1" t="s">
        <v>26</v>
      </c>
      <c r="D707" s="1">
        <v>2.8</v>
      </c>
      <c r="E707" s="1">
        <v>7</v>
      </c>
      <c r="F707" s="24">
        <f t="shared" si="17"/>
        <v>0.64908571640517776</v>
      </c>
    </row>
    <row r="708" spans="2:6" x14ac:dyDescent="0.25">
      <c r="B708" s="15" t="s">
        <v>259</v>
      </c>
      <c r="C708" s="1" t="s">
        <v>26</v>
      </c>
      <c r="D708" s="1">
        <v>2</v>
      </c>
      <c r="E708" s="1">
        <v>4</v>
      </c>
      <c r="F708" s="24">
        <f t="shared" si="17"/>
        <v>0.37090612366010162</v>
      </c>
    </row>
    <row r="709" spans="2:6" x14ac:dyDescent="0.25">
      <c r="B709" s="15" t="s">
        <v>260</v>
      </c>
      <c r="C709" s="1" t="s">
        <v>256</v>
      </c>
      <c r="D709" s="1">
        <v>1</v>
      </c>
      <c r="E709" s="1">
        <v>55</v>
      </c>
      <c r="F709" s="24">
        <f t="shared" si="17"/>
        <v>5.0999592003263974</v>
      </c>
    </row>
    <row r="710" spans="2:6" x14ac:dyDescent="0.25">
      <c r="B710" s="1"/>
      <c r="C710" s="1"/>
      <c r="D710" s="1"/>
      <c r="E710" s="1"/>
      <c r="F710" s="24">
        <f t="shared" si="17"/>
        <v>0</v>
      </c>
    </row>
    <row r="711" spans="2:6" x14ac:dyDescent="0.25">
      <c r="B711" s="1"/>
      <c r="C711" s="1"/>
      <c r="D711" s="1"/>
      <c r="E711" s="1"/>
      <c r="F711" s="24">
        <f t="shared" si="17"/>
        <v>0</v>
      </c>
    </row>
    <row r="712" spans="2:6" x14ac:dyDescent="0.25">
      <c r="B712" s="1"/>
      <c r="C712" s="1"/>
      <c r="D712" s="1"/>
      <c r="E712" s="1"/>
      <c r="F712" s="24">
        <f t="shared" si="17"/>
        <v>0</v>
      </c>
    </row>
    <row r="713" spans="2:6" x14ac:dyDescent="0.25">
      <c r="B713" s="1"/>
      <c r="C713" s="1"/>
      <c r="D713" s="1"/>
      <c r="E713" s="1"/>
      <c r="F713" s="24">
        <f t="shared" si="17"/>
        <v>0</v>
      </c>
    </row>
    <row r="714" spans="2:6" x14ac:dyDescent="0.25">
      <c r="B714" s="1"/>
      <c r="C714" s="1"/>
      <c r="D714" s="1"/>
      <c r="E714" s="1"/>
      <c r="F714" s="24">
        <f t="shared" si="17"/>
        <v>0</v>
      </c>
    </row>
    <row r="715" spans="2:6" x14ac:dyDescent="0.25">
      <c r="B715" s="1"/>
      <c r="C715" s="1"/>
      <c r="D715" s="1"/>
      <c r="E715" s="1"/>
      <c r="F715" s="24">
        <f t="shared" si="17"/>
        <v>0</v>
      </c>
    </row>
    <row r="716" spans="2:6" x14ac:dyDescent="0.25">
      <c r="B716" s="1"/>
      <c r="C716" s="1"/>
      <c r="D716" s="1"/>
      <c r="E716" s="1"/>
      <c r="F716" s="24">
        <f t="shared" si="17"/>
        <v>0</v>
      </c>
    </row>
    <row r="717" spans="2:6" x14ac:dyDescent="0.25">
      <c r="B717" s="10" t="s">
        <v>20</v>
      </c>
      <c r="C717" s="1"/>
      <c r="D717" s="1"/>
      <c r="E717" s="4">
        <f>SUM(E705:E716)</f>
        <v>206</v>
      </c>
      <c r="F717" s="22">
        <f>SUM(F705:F716)</f>
        <v>19.101665368495233</v>
      </c>
    </row>
    <row r="718" spans="2:6" x14ac:dyDescent="0.25">
      <c r="B718" s="4" t="s">
        <v>22</v>
      </c>
      <c r="C718" s="6"/>
      <c r="D718" s="6"/>
      <c r="E718" s="6"/>
      <c r="F718" s="23">
        <f>F703+F717</f>
        <v>34.341665368495228</v>
      </c>
    </row>
    <row r="719" spans="2:6" x14ac:dyDescent="0.25">
      <c r="B719" s="7"/>
      <c r="C719" s="7"/>
      <c r="D719" s="7"/>
      <c r="E719" s="7"/>
      <c r="F719" s="7"/>
    </row>
    <row r="720" spans="2:6" x14ac:dyDescent="0.25">
      <c r="B720" s="20"/>
      <c r="C720" s="20"/>
      <c r="D720" s="20"/>
      <c r="E720" s="20"/>
      <c r="F720" s="20"/>
    </row>
    <row r="721" spans="2:6" x14ac:dyDescent="0.25">
      <c r="B721" s="20"/>
      <c r="C721" s="20"/>
      <c r="D721" s="20"/>
      <c r="E721" s="20"/>
      <c r="F721" s="20"/>
    </row>
    <row r="722" spans="2:6" x14ac:dyDescent="0.25">
      <c r="B722" s="39" t="s">
        <v>23</v>
      </c>
      <c r="C722" s="38"/>
      <c r="D722" s="38"/>
      <c r="E722" s="39" t="s">
        <v>24</v>
      </c>
      <c r="F722" s="38"/>
    </row>
    <row r="724" spans="2:6" ht="30.6" customHeight="1" x14ac:dyDescent="0.25">
      <c r="B724" s="37" t="s">
        <v>245</v>
      </c>
      <c r="C724" s="37"/>
      <c r="D724" s="37"/>
      <c r="E724" s="37"/>
      <c r="F724" s="37"/>
    </row>
    <row r="725" spans="2:6" ht="31.9" customHeight="1" x14ac:dyDescent="0.25">
      <c r="B725" s="37" t="s">
        <v>1</v>
      </c>
      <c r="C725" s="37"/>
      <c r="D725" s="37"/>
      <c r="E725" s="37"/>
      <c r="F725" s="37"/>
    </row>
    <row r="726" spans="2:6" x14ac:dyDescent="0.25">
      <c r="B726" s="19" t="s">
        <v>0</v>
      </c>
      <c r="C726" s="19"/>
      <c r="D726" s="19"/>
      <c r="E726" s="19"/>
      <c r="F726" s="19"/>
    </row>
    <row r="727" spans="2:6" x14ac:dyDescent="0.25">
      <c r="B727" s="21"/>
      <c r="C727" s="38" t="s">
        <v>25</v>
      </c>
      <c r="D727" s="38"/>
      <c r="E727" s="21">
        <v>894.2</v>
      </c>
      <c r="F727" s="21" t="s">
        <v>26</v>
      </c>
    </row>
    <row r="729" spans="2:6" ht="60" x14ac:dyDescent="0.25">
      <c r="B729" s="1" t="s">
        <v>2</v>
      </c>
      <c r="C729" s="1" t="s">
        <v>4</v>
      </c>
      <c r="D729" s="1" t="s">
        <v>3</v>
      </c>
      <c r="E729" s="1" t="s">
        <v>447</v>
      </c>
      <c r="F729" s="1" t="s">
        <v>5</v>
      </c>
    </row>
    <row r="730" spans="2:6" x14ac:dyDescent="0.25">
      <c r="B730" s="1"/>
      <c r="C730" s="1"/>
      <c r="D730" s="1"/>
      <c r="E730" s="1"/>
      <c r="F730" s="1"/>
    </row>
    <row r="731" spans="2:6" x14ac:dyDescent="0.25">
      <c r="B731" s="3" t="s">
        <v>6</v>
      </c>
      <c r="C731" s="1"/>
      <c r="D731" s="1"/>
      <c r="E731" s="1"/>
      <c r="F731" s="1"/>
    </row>
    <row r="732" spans="2:6" x14ac:dyDescent="0.25">
      <c r="B732" s="5" t="s">
        <v>7</v>
      </c>
      <c r="C732" s="1"/>
      <c r="D732" s="1"/>
      <c r="E732" s="1"/>
      <c r="F732" s="5">
        <v>2.0099999999999998</v>
      </c>
    </row>
    <row r="733" spans="2:6" x14ac:dyDescent="0.25">
      <c r="B733" s="5" t="s">
        <v>8</v>
      </c>
      <c r="C733" s="1"/>
      <c r="D733" s="1"/>
      <c r="E733" s="1"/>
      <c r="F733" s="5">
        <v>5.34</v>
      </c>
    </row>
    <row r="734" spans="2:6" ht="24.75" x14ac:dyDescent="0.25">
      <c r="B734" s="5" t="s">
        <v>11</v>
      </c>
      <c r="C734" s="1"/>
      <c r="D734" s="1"/>
      <c r="E734" s="1"/>
      <c r="F734" s="5">
        <v>0.55000000000000004</v>
      </c>
    </row>
    <row r="735" spans="2:6" ht="24.75" x14ac:dyDescent="0.25">
      <c r="B735" s="5" t="s">
        <v>12</v>
      </c>
      <c r="C735" s="1"/>
      <c r="D735" s="1"/>
      <c r="E735" s="1"/>
      <c r="F735" s="5">
        <v>0.53</v>
      </c>
    </row>
    <row r="736" spans="2:6" ht="24.75" x14ac:dyDescent="0.25">
      <c r="B736" s="5" t="s">
        <v>13</v>
      </c>
      <c r="C736" s="1"/>
      <c r="D736" s="1"/>
      <c r="E736" s="1"/>
      <c r="F736" s="5">
        <v>0.19</v>
      </c>
    </row>
    <row r="737" spans="2:6" ht="24.75" x14ac:dyDescent="0.25">
      <c r="B737" s="5" t="s">
        <v>9</v>
      </c>
      <c r="C737" s="1"/>
      <c r="D737" s="1"/>
      <c r="E737" s="1"/>
      <c r="F737" s="5">
        <v>0.26</v>
      </c>
    </row>
    <row r="738" spans="2:6" ht="24.75" x14ac:dyDescent="0.25">
      <c r="B738" s="5" t="s">
        <v>15</v>
      </c>
      <c r="C738" s="1"/>
      <c r="D738" s="1"/>
      <c r="E738" s="1"/>
      <c r="F738" s="5">
        <v>0.27</v>
      </c>
    </row>
    <row r="739" spans="2:6" ht="24.75" x14ac:dyDescent="0.25">
      <c r="B739" s="5" t="s">
        <v>16</v>
      </c>
      <c r="C739" s="1"/>
      <c r="D739" s="1"/>
      <c r="E739" s="1"/>
      <c r="F739" s="5">
        <v>0.28999999999999998</v>
      </c>
    </row>
    <row r="740" spans="2:6" x14ac:dyDescent="0.25">
      <c r="B740" s="5" t="s">
        <v>17</v>
      </c>
      <c r="C740" s="1"/>
      <c r="D740" s="1"/>
      <c r="E740" s="1"/>
      <c r="F740" s="5">
        <v>0.32</v>
      </c>
    </row>
    <row r="741" spans="2:6" x14ac:dyDescent="0.25">
      <c r="B741" s="5" t="s">
        <v>18</v>
      </c>
      <c r="C741" s="1"/>
      <c r="D741" s="1"/>
      <c r="E741" s="1"/>
      <c r="F741" s="5">
        <v>1.97</v>
      </c>
    </row>
    <row r="742" spans="2:6" x14ac:dyDescent="0.25">
      <c r="B742" s="5" t="s">
        <v>19</v>
      </c>
      <c r="C742" s="1"/>
      <c r="D742" s="1"/>
      <c r="E742" s="1"/>
      <c r="F742" s="5">
        <v>3.51</v>
      </c>
    </row>
    <row r="743" spans="2:6" x14ac:dyDescent="0.25">
      <c r="B743" s="10" t="s">
        <v>20</v>
      </c>
      <c r="C743" s="1"/>
      <c r="D743" s="1"/>
      <c r="E743" s="1"/>
      <c r="F743" s="22">
        <f>SUM(F732:F742)</f>
        <v>15.239999999999998</v>
      </c>
    </row>
    <row r="744" spans="2:6" x14ac:dyDescent="0.25">
      <c r="B744" s="3" t="s">
        <v>21</v>
      </c>
      <c r="C744" s="1"/>
      <c r="D744" s="1"/>
      <c r="E744" s="1"/>
      <c r="F744" s="1"/>
    </row>
    <row r="745" spans="2:6" x14ac:dyDescent="0.25">
      <c r="B745" s="15" t="s">
        <v>252</v>
      </c>
      <c r="C745" s="1" t="s">
        <v>256</v>
      </c>
      <c r="D745" s="1">
        <v>2</v>
      </c>
      <c r="E745" s="1">
        <v>80</v>
      </c>
      <c r="F745" s="24">
        <f>E745/894.2*1000/12</f>
        <v>7.455453664355475</v>
      </c>
    </row>
    <row r="746" spans="2:6" x14ac:dyDescent="0.25">
      <c r="B746" s="15" t="s">
        <v>253</v>
      </c>
      <c r="C746" s="1" t="s">
        <v>26</v>
      </c>
      <c r="D746" s="1">
        <v>92</v>
      </c>
      <c r="E746" s="1">
        <v>65</v>
      </c>
      <c r="F746" s="24">
        <f t="shared" ref="F746:F756" si="18">E746/894.2*1000/12</f>
        <v>6.0575561022888245</v>
      </c>
    </row>
    <row r="747" spans="2:6" x14ac:dyDescent="0.25">
      <c r="B747" s="15" t="s">
        <v>269</v>
      </c>
      <c r="C747" s="1" t="s">
        <v>261</v>
      </c>
      <c r="D747" s="1">
        <v>6</v>
      </c>
      <c r="E747" s="1">
        <v>30</v>
      </c>
      <c r="F747" s="24">
        <f t="shared" si="18"/>
        <v>2.7957951241333032</v>
      </c>
    </row>
    <row r="748" spans="2:6" x14ac:dyDescent="0.25">
      <c r="B748" s="1"/>
      <c r="C748" s="1"/>
      <c r="D748" s="1"/>
      <c r="E748" s="1"/>
      <c r="F748" s="24">
        <f t="shared" si="18"/>
        <v>0</v>
      </c>
    </row>
    <row r="749" spans="2:6" x14ac:dyDescent="0.25">
      <c r="B749" s="1"/>
      <c r="C749" s="1"/>
      <c r="D749" s="1"/>
      <c r="E749" s="1"/>
      <c r="F749" s="24">
        <f t="shared" si="18"/>
        <v>0</v>
      </c>
    </row>
    <row r="750" spans="2:6" x14ac:dyDescent="0.25">
      <c r="B750" s="1"/>
      <c r="C750" s="1"/>
      <c r="D750" s="1"/>
      <c r="E750" s="1"/>
      <c r="F750" s="24">
        <f t="shared" si="18"/>
        <v>0</v>
      </c>
    </row>
    <row r="751" spans="2:6" x14ac:dyDescent="0.25">
      <c r="B751" s="1"/>
      <c r="C751" s="1"/>
      <c r="D751" s="1"/>
      <c r="E751" s="1"/>
      <c r="F751" s="24">
        <f t="shared" si="18"/>
        <v>0</v>
      </c>
    </row>
    <row r="752" spans="2:6" x14ac:dyDescent="0.25">
      <c r="B752" s="1"/>
      <c r="C752" s="1"/>
      <c r="D752" s="1"/>
      <c r="E752" s="1"/>
      <c r="F752" s="24">
        <f t="shared" si="18"/>
        <v>0</v>
      </c>
    </row>
    <row r="753" spans="2:6" x14ac:dyDescent="0.25">
      <c r="B753" s="1"/>
      <c r="C753" s="1"/>
      <c r="D753" s="1"/>
      <c r="E753" s="1"/>
      <c r="F753" s="24">
        <f t="shared" si="18"/>
        <v>0</v>
      </c>
    </row>
    <row r="754" spans="2:6" x14ac:dyDescent="0.25">
      <c r="B754" s="1"/>
      <c r="C754" s="1"/>
      <c r="D754" s="1"/>
      <c r="E754" s="1"/>
      <c r="F754" s="24">
        <f t="shared" si="18"/>
        <v>0</v>
      </c>
    </row>
    <row r="755" spans="2:6" x14ac:dyDescent="0.25">
      <c r="B755" s="1"/>
      <c r="C755" s="1"/>
      <c r="D755" s="1"/>
      <c r="E755" s="1"/>
      <c r="F755" s="24">
        <f t="shared" si="18"/>
        <v>0</v>
      </c>
    </row>
    <row r="756" spans="2:6" x14ac:dyDescent="0.25">
      <c r="B756" s="1"/>
      <c r="C756" s="1"/>
      <c r="D756" s="1"/>
      <c r="E756" s="1"/>
      <c r="F756" s="24">
        <f t="shared" si="18"/>
        <v>0</v>
      </c>
    </row>
    <row r="757" spans="2:6" x14ac:dyDescent="0.25">
      <c r="B757" s="10" t="s">
        <v>20</v>
      </c>
      <c r="C757" s="1"/>
      <c r="D757" s="1"/>
      <c r="E757" s="4">
        <f>SUM(E745:E756)</f>
        <v>175</v>
      </c>
      <c r="F757" s="22">
        <f>SUM(F745:F756)</f>
        <v>16.308804890777601</v>
      </c>
    </row>
    <row r="758" spans="2:6" x14ac:dyDescent="0.25">
      <c r="B758" s="4" t="s">
        <v>22</v>
      </c>
      <c r="C758" s="6"/>
      <c r="D758" s="6"/>
      <c r="E758" s="6"/>
      <c r="F758" s="23">
        <f>F743+F757</f>
        <v>31.5488048907776</v>
      </c>
    </row>
    <row r="759" spans="2:6" x14ac:dyDescent="0.25">
      <c r="B759" s="7"/>
      <c r="C759" s="7"/>
      <c r="D759" s="7"/>
      <c r="E759" s="7"/>
      <c r="F759" s="7"/>
    </row>
    <row r="760" spans="2:6" x14ac:dyDescent="0.25">
      <c r="B760" s="20"/>
      <c r="C760" s="20"/>
      <c r="D760" s="20"/>
      <c r="E760" s="20"/>
      <c r="F760" s="20"/>
    </row>
    <row r="761" spans="2:6" x14ac:dyDescent="0.25">
      <c r="B761" s="20"/>
      <c r="C761" s="20"/>
      <c r="D761" s="20"/>
      <c r="E761" s="20"/>
      <c r="F761" s="20"/>
    </row>
    <row r="762" spans="2:6" x14ac:dyDescent="0.25">
      <c r="B762" s="39" t="s">
        <v>23</v>
      </c>
      <c r="C762" s="38"/>
      <c r="D762" s="38"/>
      <c r="E762" s="39" t="s">
        <v>24</v>
      </c>
      <c r="F762" s="38"/>
    </row>
    <row r="764" spans="2:6" ht="27" customHeight="1" x14ac:dyDescent="0.25">
      <c r="B764" s="37" t="s">
        <v>246</v>
      </c>
      <c r="C764" s="37"/>
      <c r="D764" s="37"/>
      <c r="E764" s="37"/>
      <c r="F764" s="37"/>
    </row>
    <row r="765" spans="2:6" ht="31.15" customHeight="1" x14ac:dyDescent="0.25">
      <c r="B765" s="37" t="s">
        <v>1</v>
      </c>
      <c r="C765" s="37"/>
      <c r="D765" s="37"/>
      <c r="E765" s="37"/>
      <c r="F765" s="37"/>
    </row>
    <row r="766" spans="2:6" x14ac:dyDescent="0.25">
      <c r="B766" s="19" t="s">
        <v>0</v>
      </c>
      <c r="C766" s="19"/>
      <c r="D766" s="19"/>
      <c r="E766" s="19"/>
      <c r="F766" s="19"/>
    </row>
    <row r="767" spans="2:6" x14ac:dyDescent="0.25">
      <c r="B767" s="21"/>
      <c r="C767" s="38" t="s">
        <v>25</v>
      </c>
      <c r="D767" s="38"/>
      <c r="E767" s="21">
        <v>645.79999999999995</v>
      </c>
      <c r="F767" s="21" t="s">
        <v>26</v>
      </c>
    </row>
    <row r="769" spans="2:6" ht="60" x14ac:dyDescent="0.25">
      <c r="B769" s="1" t="s">
        <v>2</v>
      </c>
      <c r="C769" s="1" t="s">
        <v>4</v>
      </c>
      <c r="D769" s="1" t="s">
        <v>3</v>
      </c>
      <c r="E769" s="1" t="s">
        <v>447</v>
      </c>
      <c r="F769" s="1" t="s">
        <v>5</v>
      </c>
    </row>
    <row r="770" spans="2:6" x14ac:dyDescent="0.25">
      <c r="B770" s="1"/>
      <c r="C770" s="1"/>
      <c r="D770" s="1"/>
      <c r="E770" s="1"/>
      <c r="F770" s="1"/>
    </row>
    <row r="771" spans="2:6" x14ac:dyDescent="0.25">
      <c r="B771" s="3" t="s">
        <v>6</v>
      </c>
      <c r="C771" s="1"/>
      <c r="D771" s="1"/>
      <c r="E771" s="1"/>
      <c r="F771" s="1"/>
    </row>
    <row r="772" spans="2:6" x14ac:dyDescent="0.25">
      <c r="B772" s="5" t="s">
        <v>7</v>
      </c>
      <c r="C772" s="1"/>
      <c r="D772" s="1"/>
      <c r="E772" s="1"/>
      <c r="F772" s="5">
        <v>2.0099999999999998</v>
      </c>
    </row>
    <row r="773" spans="2:6" x14ac:dyDescent="0.25">
      <c r="B773" s="5" t="s">
        <v>8</v>
      </c>
      <c r="C773" s="1"/>
      <c r="D773" s="1"/>
      <c r="E773" s="1"/>
      <c r="F773" s="5">
        <v>5.34</v>
      </c>
    </row>
    <row r="774" spans="2:6" ht="24.75" x14ac:dyDescent="0.25">
      <c r="B774" s="5" t="s">
        <v>11</v>
      </c>
      <c r="C774" s="1"/>
      <c r="D774" s="1"/>
      <c r="E774" s="1"/>
      <c r="F774" s="5">
        <v>0.55000000000000004</v>
      </c>
    </row>
    <row r="775" spans="2:6" ht="24.75" x14ac:dyDescent="0.25">
      <c r="B775" s="5" t="s">
        <v>12</v>
      </c>
      <c r="C775" s="1"/>
      <c r="D775" s="1"/>
      <c r="E775" s="1"/>
      <c r="F775" s="5">
        <v>0.53</v>
      </c>
    </row>
    <row r="776" spans="2:6" ht="24.75" x14ac:dyDescent="0.25">
      <c r="B776" s="5" t="s">
        <v>13</v>
      </c>
      <c r="C776" s="1"/>
      <c r="D776" s="1"/>
      <c r="E776" s="1"/>
      <c r="F776" s="5">
        <v>0.19</v>
      </c>
    </row>
    <row r="777" spans="2:6" ht="24.75" x14ac:dyDescent="0.25">
      <c r="B777" s="5" t="s">
        <v>9</v>
      </c>
      <c r="C777" s="1"/>
      <c r="D777" s="1"/>
      <c r="E777" s="1"/>
      <c r="F777" s="5">
        <v>0.26</v>
      </c>
    </row>
    <row r="778" spans="2:6" ht="24.75" x14ac:dyDescent="0.25">
      <c r="B778" s="5" t="s">
        <v>15</v>
      </c>
      <c r="C778" s="1"/>
      <c r="D778" s="1"/>
      <c r="E778" s="1"/>
      <c r="F778" s="5">
        <v>0.27</v>
      </c>
    </row>
    <row r="779" spans="2:6" ht="24.75" x14ac:dyDescent="0.25">
      <c r="B779" s="5" t="s">
        <v>16</v>
      </c>
      <c r="C779" s="1"/>
      <c r="D779" s="1"/>
      <c r="E779" s="1"/>
      <c r="F779" s="5">
        <v>0.28999999999999998</v>
      </c>
    </row>
    <row r="780" spans="2:6" x14ac:dyDescent="0.25">
      <c r="B780" s="5" t="s">
        <v>17</v>
      </c>
      <c r="C780" s="1"/>
      <c r="D780" s="1"/>
      <c r="E780" s="1"/>
      <c r="F780" s="5">
        <v>0.32</v>
      </c>
    </row>
    <row r="781" spans="2:6" x14ac:dyDescent="0.25">
      <c r="B781" s="5" t="s">
        <v>18</v>
      </c>
      <c r="C781" s="1"/>
      <c r="D781" s="1"/>
      <c r="E781" s="1"/>
      <c r="F781" s="5">
        <v>1.97</v>
      </c>
    </row>
    <row r="782" spans="2:6" x14ac:dyDescent="0.25">
      <c r="B782" s="5" t="s">
        <v>19</v>
      </c>
      <c r="C782" s="1"/>
      <c r="D782" s="1"/>
      <c r="E782" s="1"/>
      <c r="F782" s="5">
        <v>3.51</v>
      </c>
    </row>
    <row r="783" spans="2:6" x14ac:dyDescent="0.25">
      <c r="B783" s="10" t="s">
        <v>20</v>
      </c>
      <c r="C783" s="1"/>
      <c r="D783" s="1"/>
      <c r="E783" s="1"/>
      <c r="F783" s="22">
        <f>SUM(F772:F782)</f>
        <v>15.239999999999998</v>
      </c>
    </row>
    <row r="784" spans="2:6" x14ac:dyDescent="0.25">
      <c r="B784" s="3" t="s">
        <v>21</v>
      </c>
      <c r="C784" s="1"/>
      <c r="D784" s="1"/>
      <c r="E784" s="1"/>
      <c r="F784" s="1"/>
    </row>
    <row r="785" spans="2:6" x14ac:dyDescent="0.25">
      <c r="B785" s="15" t="s">
        <v>252</v>
      </c>
      <c r="C785" s="1" t="s">
        <v>256</v>
      </c>
      <c r="D785" s="1">
        <v>2</v>
      </c>
      <c r="E785" s="1">
        <v>80</v>
      </c>
      <c r="F785" s="24">
        <f>E785/645.8*1000/12</f>
        <v>10.323113451016829</v>
      </c>
    </row>
    <row r="786" spans="2:6" x14ac:dyDescent="0.25">
      <c r="B786" s="15" t="s">
        <v>269</v>
      </c>
      <c r="C786" s="1" t="s">
        <v>261</v>
      </c>
      <c r="D786" s="1">
        <v>5</v>
      </c>
      <c r="E786" s="1">
        <v>25</v>
      </c>
      <c r="F786" s="24">
        <f t="shared" ref="F786:F796" si="19">E786/645.8*1000/12</f>
        <v>3.2259729534427586</v>
      </c>
    </row>
    <row r="787" spans="2:6" x14ac:dyDescent="0.25">
      <c r="B787" s="26" t="s">
        <v>283</v>
      </c>
      <c r="C787" s="1" t="s">
        <v>26</v>
      </c>
      <c r="D787" s="1">
        <v>4.3</v>
      </c>
      <c r="E787" s="1">
        <v>7</v>
      </c>
      <c r="F787" s="24">
        <f t="shared" si="19"/>
        <v>0.90327242696397236</v>
      </c>
    </row>
    <row r="788" spans="2:6" x14ac:dyDescent="0.25">
      <c r="B788" s="26" t="s">
        <v>305</v>
      </c>
      <c r="C788" s="1" t="s">
        <v>26</v>
      </c>
      <c r="D788" s="1">
        <v>4.5999999999999996</v>
      </c>
      <c r="E788" s="1">
        <v>6</v>
      </c>
      <c r="F788" s="24">
        <f t="shared" si="19"/>
        <v>0.77423350882626218</v>
      </c>
    </row>
    <row r="789" spans="2:6" x14ac:dyDescent="0.25">
      <c r="B789" s="1"/>
      <c r="C789" s="1"/>
      <c r="D789" s="1"/>
      <c r="E789" s="1"/>
      <c r="F789" s="24">
        <f t="shared" si="19"/>
        <v>0</v>
      </c>
    </row>
    <row r="790" spans="2:6" x14ac:dyDescent="0.25">
      <c r="B790" s="1"/>
      <c r="C790" s="1"/>
      <c r="D790" s="1"/>
      <c r="E790" s="1"/>
      <c r="F790" s="24">
        <f t="shared" si="19"/>
        <v>0</v>
      </c>
    </row>
    <row r="791" spans="2:6" x14ac:dyDescent="0.25">
      <c r="B791" s="1"/>
      <c r="C791" s="1"/>
      <c r="D791" s="1"/>
      <c r="E791" s="1"/>
      <c r="F791" s="24">
        <f t="shared" si="19"/>
        <v>0</v>
      </c>
    </row>
    <row r="792" spans="2:6" x14ac:dyDescent="0.25">
      <c r="B792" s="1"/>
      <c r="C792" s="1"/>
      <c r="D792" s="1"/>
      <c r="E792" s="1"/>
      <c r="F792" s="24">
        <f t="shared" si="19"/>
        <v>0</v>
      </c>
    </row>
    <row r="793" spans="2:6" x14ac:dyDescent="0.25">
      <c r="B793" s="1"/>
      <c r="C793" s="1"/>
      <c r="D793" s="1"/>
      <c r="E793" s="1"/>
      <c r="F793" s="24">
        <f t="shared" si="19"/>
        <v>0</v>
      </c>
    </row>
    <row r="794" spans="2:6" x14ac:dyDescent="0.25">
      <c r="B794" s="1"/>
      <c r="C794" s="1"/>
      <c r="D794" s="1"/>
      <c r="E794" s="1"/>
      <c r="F794" s="24">
        <f t="shared" si="19"/>
        <v>0</v>
      </c>
    </row>
    <row r="795" spans="2:6" x14ac:dyDescent="0.25">
      <c r="B795" s="1"/>
      <c r="C795" s="1"/>
      <c r="D795" s="1"/>
      <c r="E795" s="1"/>
      <c r="F795" s="24">
        <f t="shared" si="19"/>
        <v>0</v>
      </c>
    </row>
    <row r="796" spans="2:6" x14ac:dyDescent="0.25">
      <c r="B796" s="1"/>
      <c r="C796" s="1"/>
      <c r="D796" s="1"/>
      <c r="E796" s="1"/>
      <c r="F796" s="24">
        <f t="shared" si="19"/>
        <v>0</v>
      </c>
    </row>
    <row r="797" spans="2:6" x14ac:dyDescent="0.25">
      <c r="B797" s="10" t="s">
        <v>20</v>
      </c>
      <c r="C797" s="1"/>
      <c r="D797" s="1"/>
      <c r="E797" s="4">
        <f>SUM(E785:E796)</f>
        <v>118</v>
      </c>
      <c r="F797" s="22">
        <f>SUM(F785:F796)</f>
        <v>15.226592340249821</v>
      </c>
    </row>
    <row r="798" spans="2:6" x14ac:dyDescent="0.25">
      <c r="B798" s="4" t="s">
        <v>22</v>
      </c>
      <c r="C798" s="6"/>
      <c r="D798" s="6"/>
      <c r="E798" s="6"/>
      <c r="F798" s="23">
        <f>F783+F797</f>
        <v>30.466592340249818</v>
      </c>
    </row>
    <row r="799" spans="2:6" x14ac:dyDescent="0.25">
      <c r="B799" s="7"/>
      <c r="C799" s="7"/>
      <c r="D799" s="7"/>
      <c r="E799" s="7"/>
      <c r="F799" s="7"/>
    </row>
    <row r="800" spans="2:6" x14ac:dyDescent="0.25">
      <c r="B800" s="20"/>
      <c r="C800" s="20"/>
      <c r="D800" s="20"/>
      <c r="E800" s="20"/>
      <c r="F800" s="20"/>
    </row>
    <row r="801" spans="2:6" x14ac:dyDescent="0.25">
      <c r="B801" s="20"/>
      <c r="C801" s="20"/>
      <c r="D801" s="20"/>
      <c r="E801" s="20"/>
      <c r="F801" s="20"/>
    </row>
    <row r="802" spans="2:6" x14ac:dyDescent="0.25">
      <c r="B802" s="39" t="s">
        <v>23</v>
      </c>
      <c r="C802" s="38"/>
      <c r="D802" s="38"/>
      <c r="E802" s="39" t="s">
        <v>24</v>
      </c>
      <c r="F802" s="38"/>
    </row>
    <row r="804" spans="2:6" ht="25.9" customHeight="1" x14ac:dyDescent="0.25">
      <c r="B804" s="37" t="s">
        <v>247</v>
      </c>
      <c r="C804" s="37"/>
      <c r="D804" s="37"/>
      <c r="E804" s="37"/>
      <c r="F804" s="37"/>
    </row>
    <row r="805" spans="2:6" ht="30.6" customHeight="1" x14ac:dyDescent="0.25">
      <c r="B805" s="37" t="s">
        <v>1</v>
      </c>
      <c r="C805" s="37"/>
      <c r="D805" s="37"/>
      <c r="E805" s="37"/>
      <c r="F805" s="37"/>
    </row>
    <row r="806" spans="2:6" x14ac:dyDescent="0.25">
      <c r="B806" s="19" t="s">
        <v>0</v>
      </c>
      <c r="C806" s="19"/>
      <c r="D806" s="19"/>
      <c r="E806" s="19"/>
      <c r="F806" s="19"/>
    </row>
    <row r="807" spans="2:6" x14ac:dyDescent="0.25">
      <c r="B807" s="21"/>
      <c r="C807" s="38" t="s">
        <v>25</v>
      </c>
      <c r="D807" s="38"/>
      <c r="E807" s="21">
        <v>1642.4</v>
      </c>
      <c r="F807" s="21" t="s">
        <v>26</v>
      </c>
    </row>
    <row r="809" spans="2:6" ht="60" x14ac:dyDescent="0.25">
      <c r="B809" s="1" t="s">
        <v>2</v>
      </c>
      <c r="C809" s="1" t="s">
        <v>4</v>
      </c>
      <c r="D809" s="1" t="s">
        <v>3</v>
      </c>
      <c r="E809" s="1" t="s">
        <v>447</v>
      </c>
      <c r="F809" s="1" t="s">
        <v>5</v>
      </c>
    </row>
    <row r="810" spans="2:6" x14ac:dyDescent="0.25">
      <c r="B810" s="1"/>
      <c r="C810" s="1"/>
      <c r="D810" s="1"/>
      <c r="E810" s="1"/>
      <c r="F810" s="1"/>
    </row>
    <row r="811" spans="2:6" x14ac:dyDescent="0.25">
      <c r="B811" s="3" t="s">
        <v>6</v>
      </c>
      <c r="C811" s="1"/>
      <c r="D811" s="1"/>
      <c r="E811" s="1"/>
      <c r="F811" s="1"/>
    </row>
    <row r="812" spans="2:6" x14ac:dyDescent="0.25">
      <c r="B812" s="5" t="s">
        <v>7</v>
      </c>
      <c r="C812" s="1"/>
      <c r="D812" s="1"/>
      <c r="E812" s="1"/>
      <c r="F812" s="5">
        <v>2.0099999999999998</v>
      </c>
    </row>
    <row r="813" spans="2:6" x14ac:dyDescent="0.25">
      <c r="B813" s="5" t="s">
        <v>8</v>
      </c>
      <c r="C813" s="1"/>
      <c r="D813" s="1"/>
      <c r="E813" s="1"/>
      <c r="F813" s="5">
        <v>5.34</v>
      </c>
    </row>
    <row r="814" spans="2:6" x14ac:dyDescent="0.25">
      <c r="B814" s="15" t="s">
        <v>30</v>
      </c>
      <c r="C814" s="1"/>
      <c r="D814" s="1"/>
      <c r="E814" s="1"/>
      <c r="F814" s="5">
        <v>0.06</v>
      </c>
    </row>
    <row r="815" spans="2:6" ht="24.75" x14ac:dyDescent="0.25">
      <c r="B815" s="5" t="s">
        <v>11</v>
      </c>
      <c r="C815" s="1"/>
      <c r="D815" s="1"/>
      <c r="E815" s="1"/>
      <c r="F815" s="5">
        <v>0.55000000000000004</v>
      </c>
    </row>
    <row r="816" spans="2:6" ht="24.75" x14ac:dyDescent="0.25">
      <c r="B816" s="5" t="s">
        <v>12</v>
      </c>
      <c r="C816" s="1"/>
      <c r="D816" s="1"/>
      <c r="E816" s="1"/>
      <c r="F816" s="5">
        <v>0.53</v>
      </c>
    </row>
    <row r="817" spans="2:6" ht="24.75" x14ac:dyDescent="0.25">
      <c r="B817" s="5" t="s">
        <v>13</v>
      </c>
      <c r="C817" s="1"/>
      <c r="D817" s="1"/>
      <c r="E817" s="1"/>
      <c r="F817" s="5">
        <v>0.19</v>
      </c>
    </row>
    <row r="818" spans="2:6" ht="24.75" x14ac:dyDescent="0.25">
      <c r="B818" s="5" t="s">
        <v>9</v>
      </c>
      <c r="C818" s="1"/>
      <c r="D818" s="1"/>
      <c r="E818" s="1"/>
      <c r="F818" s="5">
        <v>0.26</v>
      </c>
    </row>
    <row r="819" spans="2:6" ht="24.75" x14ac:dyDescent="0.25">
      <c r="B819" s="5" t="s">
        <v>15</v>
      </c>
      <c r="C819" s="1"/>
      <c r="D819" s="1"/>
      <c r="E819" s="1"/>
      <c r="F819" s="5">
        <v>0.27</v>
      </c>
    </row>
    <row r="820" spans="2:6" ht="24.75" x14ac:dyDescent="0.25">
      <c r="B820" s="5" t="s">
        <v>16</v>
      </c>
      <c r="C820" s="1"/>
      <c r="D820" s="1"/>
      <c r="E820" s="1"/>
      <c r="F820" s="5">
        <v>0.28999999999999998</v>
      </c>
    </row>
    <row r="821" spans="2:6" x14ac:dyDescent="0.25">
      <c r="B821" s="5" t="s">
        <v>17</v>
      </c>
      <c r="C821" s="1"/>
      <c r="D821" s="1"/>
      <c r="E821" s="1"/>
      <c r="F821" s="5">
        <v>0.32</v>
      </c>
    </row>
    <row r="822" spans="2:6" x14ac:dyDescent="0.25">
      <c r="B822" s="5" t="s">
        <v>18</v>
      </c>
      <c r="C822" s="1"/>
      <c r="D822" s="1"/>
      <c r="E822" s="1"/>
      <c r="F822" s="5">
        <v>1.97</v>
      </c>
    </row>
    <row r="823" spans="2:6" x14ac:dyDescent="0.25">
      <c r="B823" s="5" t="s">
        <v>19</v>
      </c>
      <c r="C823" s="1"/>
      <c r="D823" s="1"/>
      <c r="E823" s="1"/>
      <c r="F823" s="5">
        <v>3.51</v>
      </c>
    </row>
    <row r="824" spans="2:6" x14ac:dyDescent="0.25">
      <c r="B824" s="10" t="s">
        <v>20</v>
      </c>
      <c r="C824" s="1"/>
      <c r="D824" s="1"/>
      <c r="E824" s="1"/>
      <c r="F824" s="22">
        <f>SUM(F812:F823)</f>
        <v>15.299999999999997</v>
      </c>
    </row>
    <row r="825" spans="2:6" x14ac:dyDescent="0.25">
      <c r="B825" s="3" t="s">
        <v>21</v>
      </c>
      <c r="C825" s="1"/>
      <c r="D825" s="1"/>
      <c r="E825" s="1"/>
      <c r="F825" s="1"/>
    </row>
    <row r="826" spans="2:6" x14ac:dyDescent="0.25">
      <c r="B826" s="15" t="s">
        <v>252</v>
      </c>
      <c r="C826" s="1" t="s">
        <v>256</v>
      </c>
      <c r="D826" s="1">
        <v>3</v>
      </c>
      <c r="E826" s="1">
        <v>150</v>
      </c>
      <c r="F826" s="24">
        <f>E826/1642.4*1000/12</f>
        <v>7.6108134437408665</v>
      </c>
    </row>
    <row r="827" spans="2:6" x14ac:dyDescent="0.25">
      <c r="B827" s="15" t="s">
        <v>302</v>
      </c>
      <c r="C827" s="1" t="s">
        <v>26</v>
      </c>
      <c r="D827" s="1">
        <v>827</v>
      </c>
      <c r="E827" s="1">
        <v>910</v>
      </c>
      <c r="F827" s="24">
        <f t="shared" ref="F827:F837" si="20">E827/1642.4*1000/12</f>
        <v>46.172268225361258</v>
      </c>
    </row>
    <row r="828" spans="2:6" x14ac:dyDescent="0.25">
      <c r="B828" s="15" t="s">
        <v>253</v>
      </c>
      <c r="C828" s="1" t="s">
        <v>26</v>
      </c>
      <c r="D828" s="1">
        <v>40</v>
      </c>
      <c r="E828" s="1">
        <v>30</v>
      </c>
      <c r="F828" s="24">
        <f t="shared" si="20"/>
        <v>1.5221626887481732</v>
      </c>
    </row>
    <row r="829" spans="2:6" x14ac:dyDescent="0.25">
      <c r="B829" s="15" t="s">
        <v>258</v>
      </c>
      <c r="C829" s="1" t="s">
        <v>261</v>
      </c>
      <c r="D829" s="1">
        <v>18</v>
      </c>
      <c r="E829" s="1">
        <v>23</v>
      </c>
      <c r="F829" s="24">
        <f t="shared" si="20"/>
        <v>1.1669913947069328</v>
      </c>
    </row>
    <row r="830" spans="2:6" x14ac:dyDescent="0.25">
      <c r="B830" s="15" t="s">
        <v>255</v>
      </c>
      <c r="C830" s="1" t="s">
        <v>26</v>
      </c>
      <c r="D830" s="1">
        <v>4</v>
      </c>
      <c r="E830" s="1">
        <v>10</v>
      </c>
      <c r="F830" s="24">
        <f t="shared" si="20"/>
        <v>0.5073875629160578</v>
      </c>
    </row>
    <row r="831" spans="2:6" x14ac:dyDescent="0.25">
      <c r="B831" s="15" t="s">
        <v>271</v>
      </c>
      <c r="C831" s="1" t="s">
        <v>261</v>
      </c>
      <c r="D831" s="1">
        <v>14</v>
      </c>
      <c r="E831" s="1">
        <v>27</v>
      </c>
      <c r="F831" s="24">
        <f t="shared" si="20"/>
        <v>1.3699464198733562</v>
      </c>
    </row>
    <row r="832" spans="2:6" x14ac:dyDescent="0.25">
      <c r="B832" s="15" t="s">
        <v>259</v>
      </c>
      <c r="C832" s="1" t="s">
        <v>26</v>
      </c>
      <c r="D832" s="1">
        <v>6</v>
      </c>
      <c r="E832" s="1">
        <v>12</v>
      </c>
      <c r="F832" s="24">
        <f t="shared" si="20"/>
        <v>0.60886507549926938</v>
      </c>
    </row>
    <row r="833" spans="2:6" x14ac:dyDescent="0.25">
      <c r="B833" s="1"/>
      <c r="C833" s="1"/>
      <c r="D833" s="1"/>
      <c r="E833" s="1"/>
      <c r="F833" s="24">
        <f t="shared" si="20"/>
        <v>0</v>
      </c>
    </row>
    <row r="834" spans="2:6" x14ac:dyDescent="0.25">
      <c r="B834" s="1"/>
      <c r="C834" s="1"/>
      <c r="D834" s="1"/>
      <c r="E834" s="1"/>
      <c r="F834" s="24">
        <f t="shared" si="20"/>
        <v>0</v>
      </c>
    </row>
    <row r="835" spans="2:6" x14ac:dyDescent="0.25">
      <c r="B835" s="1"/>
      <c r="C835" s="1"/>
      <c r="D835" s="1"/>
      <c r="E835" s="1"/>
      <c r="F835" s="24">
        <f t="shared" si="20"/>
        <v>0</v>
      </c>
    </row>
    <row r="836" spans="2:6" x14ac:dyDescent="0.25">
      <c r="B836" s="1"/>
      <c r="C836" s="1"/>
      <c r="D836" s="1"/>
      <c r="E836" s="1"/>
      <c r="F836" s="24">
        <f t="shared" si="20"/>
        <v>0</v>
      </c>
    </row>
    <row r="837" spans="2:6" x14ac:dyDescent="0.25">
      <c r="B837" s="1"/>
      <c r="C837" s="1"/>
      <c r="D837" s="1"/>
      <c r="E837" s="1"/>
      <c r="F837" s="24">
        <f t="shared" si="20"/>
        <v>0</v>
      </c>
    </row>
    <row r="838" spans="2:6" x14ac:dyDescent="0.25">
      <c r="B838" s="10" t="s">
        <v>20</v>
      </c>
      <c r="C838" s="1"/>
      <c r="D838" s="1"/>
      <c r="E838" s="4">
        <f>SUM(E826:E837)</f>
        <v>1162</v>
      </c>
      <c r="F838" s="22">
        <f>SUM(F826:F837)</f>
        <v>58.958434810845915</v>
      </c>
    </row>
    <row r="839" spans="2:6" x14ac:dyDescent="0.25">
      <c r="B839" s="4" t="s">
        <v>22</v>
      </c>
      <c r="C839" s="6"/>
      <c r="D839" s="6"/>
      <c r="E839" s="6"/>
      <c r="F839" s="23">
        <f>F824+F838</f>
        <v>74.258434810845912</v>
      </c>
    </row>
    <row r="840" spans="2:6" x14ac:dyDescent="0.25">
      <c r="B840" s="7"/>
      <c r="C840" s="7"/>
      <c r="D840" s="7"/>
      <c r="E840" s="7"/>
      <c r="F840" s="7"/>
    </row>
    <row r="841" spans="2:6" x14ac:dyDescent="0.25">
      <c r="B841" s="20"/>
      <c r="C841" s="20"/>
      <c r="D841" s="20"/>
      <c r="E841" s="20"/>
      <c r="F841" s="20"/>
    </row>
    <row r="842" spans="2:6" x14ac:dyDescent="0.25">
      <c r="B842" s="20"/>
      <c r="C842" s="20"/>
      <c r="D842" s="20"/>
      <c r="E842" s="20"/>
      <c r="F842" s="20"/>
    </row>
    <row r="843" spans="2:6" x14ac:dyDescent="0.25">
      <c r="B843" s="39" t="s">
        <v>23</v>
      </c>
      <c r="C843" s="38"/>
      <c r="D843" s="38"/>
      <c r="E843" s="39" t="s">
        <v>24</v>
      </c>
      <c r="F843" s="38"/>
    </row>
    <row r="845" spans="2:6" ht="31.9" customHeight="1" x14ac:dyDescent="0.25">
      <c r="B845" s="37" t="s">
        <v>248</v>
      </c>
      <c r="C845" s="37"/>
      <c r="D845" s="37"/>
      <c r="E845" s="37"/>
      <c r="F845" s="37"/>
    </row>
    <row r="846" spans="2:6" ht="34.15" customHeight="1" x14ac:dyDescent="0.25">
      <c r="B846" s="37" t="s">
        <v>1</v>
      </c>
      <c r="C846" s="37"/>
      <c r="D846" s="37"/>
      <c r="E846" s="37"/>
      <c r="F846" s="37"/>
    </row>
    <row r="847" spans="2:6" x14ac:dyDescent="0.25">
      <c r="B847" s="19" t="s">
        <v>0</v>
      </c>
      <c r="C847" s="19"/>
      <c r="D847" s="19"/>
      <c r="E847" s="19"/>
      <c r="F847" s="19"/>
    </row>
    <row r="848" spans="2:6" x14ac:dyDescent="0.25">
      <c r="B848" s="21"/>
      <c r="C848" s="38" t="s">
        <v>25</v>
      </c>
      <c r="D848" s="38"/>
      <c r="E848" s="21">
        <v>508.8</v>
      </c>
      <c r="F848" s="21" t="s">
        <v>26</v>
      </c>
    </row>
    <row r="850" spans="2:6" ht="60" x14ac:dyDescent="0.25">
      <c r="B850" s="1" t="s">
        <v>2</v>
      </c>
      <c r="C850" s="1" t="s">
        <v>4</v>
      </c>
      <c r="D850" s="1" t="s">
        <v>3</v>
      </c>
      <c r="E850" s="1" t="s">
        <v>447</v>
      </c>
      <c r="F850" s="1" t="s">
        <v>5</v>
      </c>
    </row>
    <row r="851" spans="2:6" x14ac:dyDescent="0.25">
      <c r="B851" s="1"/>
      <c r="C851" s="1"/>
      <c r="D851" s="1"/>
      <c r="E851" s="1"/>
      <c r="F851" s="1"/>
    </row>
    <row r="852" spans="2:6" x14ac:dyDescent="0.25">
      <c r="B852" s="3" t="s">
        <v>6</v>
      </c>
      <c r="C852" s="1"/>
      <c r="D852" s="1"/>
      <c r="E852" s="1"/>
      <c r="F852" s="1"/>
    </row>
    <row r="853" spans="2:6" x14ac:dyDescent="0.25">
      <c r="B853" s="5" t="s">
        <v>7</v>
      </c>
      <c r="C853" s="1"/>
      <c r="D853" s="1"/>
      <c r="E853" s="1"/>
      <c r="F853" s="5">
        <v>2.0099999999999998</v>
      </c>
    </row>
    <row r="854" spans="2:6" x14ac:dyDescent="0.25">
      <c r="B854" s="5" t="s">
        <v>8</v>
      </c>
      <c r="C854" s="1"/>
      <c r="D854" s="1"/>
      <c r="E854" s="1"/>
      <c r="F854" s="5">
        <v>5.34</v>
      </c>
    </row>
    <row r="855" spans="2:6" ht="24.75" x14ac:dyDescent="0.25">
      <c r="B855" s="5" t="s">
        <v>11</v>
      </c>
      <c r="C855" s="1"/>
      <c r="D855" s="1"/>
      <c r="E855" s="1"/>
      <c r="F855" s="5">
        <v>0.55000000000000004</v>
      </c>
    </row>
    <row r="856" spans="2:6" ht="24.75" x14ac:dyDescent="0.25">
      <c r="B856" s="5" t="s">
        <v>12</v>
      </c>
      <c r="C856" s="1"/>
      <c r="D856" s="1"/>
      <c r="E856" s="1"/>
      <c r="F856" s="5">
        <v>0.53</v>
      </c>
    </row>
    <row r="857" spans="2:6" ht="24.75" x14ac:dyDescent="0.25">
      <c r="B857" s="5" t="s">
        <v>13</v>
      </c>
      <c r="C857" s="1"/>
      <c r="D857" s="1"/>
      <c r="E857" s="1"/>
      <c r="F857" s="5">
        <v>0.19</v>
      </c>
    </row>
    <row r="858" spans="2:6" ht="24.75" x14ac:dyDescent="0.25">
      <c r="B858" s="5" t="s">
        <v>9</v>
      </c>
      <c r="C858" s="1"/>
      <c r="D858" s="1"/>
      <c r="E858" s="1"/>
      <c r="F858" s="5">
        <v>0.26</v>
      </c>
    </row>
    <row r="859" spans="2:6" ht="24.75" x14ac:dyDescent="0.25">
      <c r="B859" s="5" t="s">
        <v>15</v>
      </c>
      <c r="C859" s="1"/>
      <c r="D859" s="1"/>
      <c r="E859" s="1"/>
      <c r="F859" s="5">
        <v>0.27</v>
      </c>
    </row>
    <row r="860" spans="2:6" ht="24.75" x14ac:dyDescent="0.25">
      <c r="B860" s="5" t="s">
        <v>16</v>
      </c>
      <c r="C860" s="1"/>
      <c r="D860" s="1"/>
      <c r="E860" s="1"/>
      <c r="F860" s="5">
        <v>0.28999999999999998</v>
      </c>
    </row>
    <row r="861" spans="2:6" x14ac:dyDescent="0.25">
      <c r="B861" s="5" t="s">
        <v>17</v>
      </c>
      <c r="C861" s="1"/>
      <c r="D861" s="1"/>
      <c r="E861" s="1"/>
      <c r="F861" s="5">
        <v>0.32</v>
      </c>
    </row>
    <row r="862" spans="2:6" x14ac:dyDescent="0.25">
      <c r="B862" s="5" t="s">
        <v>18</v>
      </c>
      <c r="C862" s="1"/>
      <c r="D862" s="1"/>
      <c r="E862" s="1"/>
      <c r="F862" s="5">
        <v>1.97</v>
      </c>
    </row>
    <row r="863" spans="2:6" x14ac:dyDescent="0.25">
      <c r="B863" s="5" t="s">
        <v>19</v>
      </c>
      <c r="C863" s="1"/>
      <c r="D863" s="1"/>
      <c r="E863" s="1"/>
      <c r="F863" s="5">
        <v>3.51</v>
      </c>
    </row>
    <row r="864" spans="2:6" x14ac:dyDescent="0.25">
      <c r="B864" s="10" t="s">
        <v>20</v>
      </c>
      <c r="C864" s="1"/>
      <c r="D864" s="1"/>
      <c r="E864" s="1"/>
      <c r="F864" s="22">
        <f>SUM(F853:F863)</f>
        <v>15.239999999999998</v>
      </c>
    </row>
    <row r="865" spans="2:6" x14ac:dyDescent="0.25">
      <c r="B865" s="3" t="s">
        <v>21</v>
      </c>
      <c r="C865" s="1"/>
      <c r="D865" s="1"/>
      <c r="E865" s="1"/>
      <c r="F865" s="1"/>
    </row>
    <row r="866" spans="2:6" x14ac:dyDescent="0.25">
      <c r="B866" s="15" t="s">
        <v>252</v>
      </c>
      <c r="C866" s="1" t="s">
        <v>256</v>
      </c>
      <c r="D866" s="1">
        <v>2</v>
      </c>
      <c r="E866" s="1">
        <v>80</v>
      </c>
      <c r="F866" s="24">
        <f>E866/508.8*1000/12</f>
        <v>13.102725366876308</v>
      </c>
    </row>
    <row r="867" spans="2:6" x14ac:dyDescent="0.25">
      <c r="B867" s="15" t="s">
        <v>253</v>
      </c>
      <c r="C867" s="1" t="s">
        <v>26</v>
      </c>
      <c r="D867" s="1">
        <v>80</v>
      </c>
      <c r="E867" s="1">
        <v>60</v>
      </c>
      <c r="F867" s="24">
        <f t="shared" ref="F867:F877" si="21">E867/508.8*1000/12</f>
        <v>9.8270440251572335</v>
      </c>
    </row>
    <row r="868" spans="2:6" x14ac:dyDescent="0.25">
      <c r="B868" s="15" t="s">
        <v>254</v>
      </c>
      <c r="C868" s="1" t="s">
        <v>26</v>
      </c>
      <c r="D868" s="1">
        <v>40</v>
      </c>
      <c r="E868" s="1">
        <v>25</v>
      </c>
      <c r="F868" s="24">
        <f t="shared" si="21"/>
        <v>4.0946016771488472</v>
      </c>
    </row>
    <row r="869" spans="2:6" x14ac:dyDescent="0.25">
      <c r="B869" s="15" t="s">
        <v>257</v>
      </c>
      <c r="C869" s="1" t="s">
        <v>26</v>
      </c>
      <c r="D869" s="1">
        <v>120</v>
      </c>
      <c r="E869" s="1">
        <v>145</v>
      </c>
      <c r="F869" s="24">
        <f t="shared" si="21"/>
        <v>23.748689727463312</v>
      </c>
    </row>
    <row r="870" spans="2:6" x14ac:dyDescent="0.25">
      <c r="B870" s="15" t="s">
        <v>306</v>
      </c>
      <c r="C870" s="1" t="s">
        <v>26</v>
      </c>
      <c r="D870" s="1">
        <v>4</v>
      </c>
      <c r="E870" s="1">
        <v>10</v>
      </c>
      <c r="F870" s="24">
        <f t="shared" si="21"/>
        <v>1.6378406708595385</v>
      </c>
    </row>
    <row r="871" spans="2:6" x14ac:dyDescent="0.25">
      <c r="B871" s="15" t="s">
        <v>260</v>
      </c>
      <c r="C871" s="1" t="s">
        <v>256</v>
      </c>
      <c r="D871" s="1">
        <v>2</v>
      </c>
      <c r="E871" s="1">
        <v>110</v>
      </c>
      <c r="F871" s="24">
        <f t="shared" si="21"/>
        <v>18.016247379454928</v>
      </c>
    </row>
    <row r="872" spans="2:6" x14ac:dyDescent="0.25">
      <c r="B872" s="1"/>
      <c r="C872" s="1"/>
      <c r="D872" s="1"/>
      <c r="E872" s="1"/>
      <c r="F872" s="24">
        <f t="shared" si="21"/>
        <v>0</v>
      </c>
    </row>
    <row r="873" spans="2:6" x14ac:dyDescent="0.25">
      <c r="B873" s="1"/>
      <c r="C873" s="1"/>
      <c r="D873" s="1"/>
      <c r="E873" s="1"/>
      <c r="F873" s="24">
        <f t="shared" si="21"/>
        <v>0</v>
      </c>
    </row>
    <row r="874" spans="2:6" x14ac:dyDescent="0.25">
      <c r="B874" s="1"/>
      <c r="C874" s="1"/>
      <c r="D874" s="1"/>
      <c r="E874" s="1"/>
      <c r="F874" s="24">
        <f t="shared" si="21"/>
        <v>0</v>
      </c>
    </row>
    <row r="875" spans="2:6" x14ac:dyDescent="0.25">
      <c r="B875" s="1"/>
      <c r="C875" s="1"/>
      <c r="D875" s="1"/>
      <c r="E875" s="1"/>
      <c r="F875" s="24">
        <f t="shared" si="21"/>
        <v>0</v>
      </c>
    </row>
    <row r="876" spans="2:6" x14ac:dyDescent="0.25">
      <c r="B876" s="1"/>
      <c r="C876" s="1"/>
      <c r="D876" s="1"/>
      <c r="E876" s="1"/>
      <c r="F876" s="24">
        <f t="shared" si="21"/>
        <v>0</v>
      </c>
    </row>
    <row r="877" spans="2:6" x14ac:dyDescent="0.25">
      <c r="B877" s="1"/>
      <c r="C877" s="1"/>
      <c r="D877" s="1"/>
      <c r="E877" s="1"/>
      <c r="F877" s="24">
        <f t="shared" si="21"/>
        <v>0</v>
      </c>
    </row>
    <row r="878" spans="2:6" x14ac:dyDescent="0.25">
      <c r="B878" s="10" t="s">
        <v>20</v>
      </c>
      <c r="C878" s="1"/>
      <c r="D878" s="1"/>
      <c r="E878" s="4">
        <f>SUM(E866:E877)</f>
        <v>430</v>
      </c>
      <c r="F878" s="22">
        <f>SUM(F866:F877)</f>
        <v>70.427148846960165</v>
      </c>
    </row>
    <row r="879" spans="2:6" x14ac:dyDescent="0.25">
      <c r="B879" s="4" t="s">
        <v>22</v>
      </c>
      <c r="C879" s="6"/>
      <c r="D879" s="6"/>
      <c r="E879" s="6"/>
      <c r="F879" s="23">
        <f>F864+F878</f>
        <v>85.66714884696016</v>
      </c>
    </row>
    <row r="880" spans="2:6" x14ac:dyDescent="0.25">
      <c r="B880" s="7"/>
      <c r="C880" s="7"/>
      <c r="D880" s="7"/>
      <c r="E880" s="7"/>
      <c r="F880" s="7"/>
    </row>
    <row r="881" spans="2:6" x14ac:dyDescent="0.25">
      <c r="B881" s="20"/>
      <c r="C881" s="20"/>
      <c r="D881" s="20"/>
      <c r="E881" s="20"/>
      <c r="F881" s="20"/>
    </row>
    <row r="882" spans="2:6" x14ac:dyDescent="0.25">
      <c r="B882" s="20"/>
      <c r="C882" s="20"/>
      <c r="D882" s="20"/>
      <c r="E882" s="20"/>
      <c r="F882" s="20"/>
    </row>
    <row r="883" spans="2:6" x14ac:dyDescent="0.25">
      <c r="B883" s="39" t="s">
        <v>23</v>
      </c>
      <c r="C883" s="38"/>
      <c r="D883" s="38"/>
      <c r="E883" s="39" t="s">
        <v>24</v>
      </c>
      <c r="F883" s="38"/>
    </row>
    <row r="885" spans="2:6" ht="31.9" customHeight="1" x14ac:dyDescent="0.25">
      <c r="B885" s="37" t="s">
        <v>249</v>
      </c>
      <c r="C885" s="37"/>
      <c r="D885" s="37"/>
      <c r="E885" s="37"/>
      <c r="F885" s="37"/>
    </row>
    <row r="886" spans="2:6" ht="32.450000000000003" customHeight="1" x14ac:dyDescent="0.25">
      <c r="B886" s="37" t="s">
        <v>1</v>
      </c>
      <c r="C886" s="37"/>
      <c r="D886" s="37"/>
      <c r="E886" s="37"/>
      <c r="F886" s="37"/>
    </row>
    <row r="887" spans="2:6" x14ac:dyDescent="0.25">
      <c r="B887" s="19" t="s">
        <v>0</v>
      </c>
      <c r="C887" s="19"/>
      <c r="D887" s="19"/>
      <c r="E887" s="19"/>
      <c r="F887" s="19"/>
    </row>
    <row r="888" spans="2:6" x14ac:dyDescent="0.25">
      <c r="B888" s="21"/>
      <c r="C888" s="38" t="s">
        <v>25</v>
      </c>
      <c r="D888" s="38"/>
      <c r="E888" s="21">
        <v>276.5</v>
      </c>
      <c r="F888" s="21" t="s">
        <v>26</v>
      </c>
    </row>
    <row r="890" spans="2:6" ht="60" x14ac:dyDescent="0.25">
      <c r="B890" s="1" t="s">
        <v>2</v>
      </c>
      <c r="C890" s="1" t="s">
        <v>4</v>
      </c>
      <c r="D890" s="1" t="s">
        <v>3</v>
      </c>
      <c r="E890" s="1" t="s">
        <v>447</v>
      </c>
      <c r="F890" s="1" t="s">
        <v>5</v>
      </c>
    </row>
    <row r="891" spans="2:6" x14ac:dyDescent="0.25">
      <c r="B891" s="1"/>
      <c r="C891" s="1"/>
      <c r="D891" s="1"/>
      <c r="E891" s="1"/>
      <c r="F891" s="1"/>
    </row>
    <row r="892" spans="2:6" x14ac:dyDescent="0.25">
      <c r="B892" s="3" t="s">
        <v>6</v>
      </c>
      <c r="C892" s="1"/>
      <c r="D892" s="1"/>
      <c r="E892" s="1"/>
      <c r="F892" s="1"/>
    </row>
    <row r="893" spans="2:6" x14ac:dyDescent="0.25">
      <c r="B893" s="5" t="s">
        <v>7</v>
      </c>
      <c r="C893" s="1"/>
      <c r="D893" s="1"/>
      <c r="E893" s="1"/>
      <c r="F893" s="5">
        <v>2.0099999999999998</v>
      </c>
    </row>
    <row r="894" spans="2:6" x14ac:dyDescent="0.25">
      <c r="B894" s="5" t="s">
        <v>8</v>
      </c>
      <c r="C894" s="1"/>
      <c r="D894" s="1"/>
      <c r="E894" s="1"/>
      <c r="F894" s="5">
        <v>5.34</v>
      </c>
    </row>
    <row r="895" spans="2:6" ht="24.75" x14ac:dyDescent="0.25">
      <c r="B895" s="5" t="s">
        <v>12</v>
      </c>
      <c r="C895" s="1"/>
      <c r="D895" s="1"/>
      <c r="E895" s="1"/>
      <c r="F895" s="5">
        <v>0.34</v>
      </c>
    </row>
    <row r="896" spans="2:6" ht="24.75" x14ac:dyDescent="0.25">
      <c r="B896" s="5" t="s">
        <v>9</v>
      </c>
      <c r="C896" s="1"/>
      <c r="D896" s="1"/>
      <c r="E896" s="1"/>
      <c r="F896" s="5">
        <v>0.26</v>
      </c>
    </row>
    <row r="897" spans="2:6" x14ac:dyDescent="0.25">
      <c r="B897" s="5" t="s">
        <v>200</v>
      </c>
      <c r="C897" s="1"/>
      <c r="D897" s="1"/>
      <c r="E897" s="1"/>
      <c r="F897" s="5">
        <v>0.19</v>
      </c>
    </row>
    <row r="898" spans="2:6" ht="24.75" x14ac:dyDescent="0.25">
      <c r="B898" s="5" t="s">
        <v>16</v>
      </c>
      <c r="C898" s="1"/>
      <c r="D898" s="1"/>
      <c r="E898" s="1"/>
      <c r="F898" s="5">
        <v>0.28999999999999998</v>
      </c>
    </row>
    <row r="899" spans="2:6" x14ac:dyDescent="0.25">
      <c r="B899" s="5" t="s">
        <v>17</v>
      </c>
      <c r="C899" s="1"/>
      <c r="D899" s="1"/>
      <c r="E899" s="1"/>
      <c r="F899" s="5">
        <v>0.32</v>
      </c>
    </row>
    <row r="900" spans="2:6" x14ac:dyDescent="0.25">
      <c r="B900" s="5" t="s">
        <v>18</v>
      </c>
      <c r="C900" s="1"/>
      <c r="D900" s="1"/>
      <c r="E900" s="1"/>
      <c r="F900" s="5">
        <v>1.97</v>
      </c>
    </row>
    <row r="901" spans="2:6" x14ac:dyDescent="0.25">
      <c r="B901" s="5" t="s">
        <v>19</v>
      </c>
      <c r="C901" s="1"/>
      <c r="D901" s="1"/>
      <c r="E901" s="1"/>
      <c r="F901" s="5">
        <v>3.51</v>
      </c>
    </row>
    <row r="902" spans="2:6" x14ac:dyDescent="0.25">
      <c r="B902" s="10" t="s">
        <v>20</v>
      </c>
      <c r="C902" s="1"/>
      <c r="D902" s="1"/>
      <c r="E902" s="1"/>
      <c r="F902" s="22">
        <f>SUM(F893:F901)</f>
        <v>14.229999999999999</v>
      </c>
    </row>
    <row r="903" spans="2:6" x14ac:dyDescent="0.25">
      <c r="B903" s="3" t="s">
        <v>21</v>
      </c>
      <c r="C903" s="1"/>
      <c r="D903" s="1"/>
      <c r="E903" s="1"/>
      <c r="F903" s="1"/>
    </row>
    <row r="904" spans="2:6" x14ac:dyDescent="0.25">
      <c r="B904" s="15" t="s">
        <v>264</v>
      </c>
      <c r="C904" s="1" t="s">
        <v>265</v>
      </c>
      <c r="D904" s="1">
        <v>1</v>
      </c>
      <c r="E904" s="1">
        <v>20</v>
      </c>
      <c r="F904" s="24">
        <f>E904/276.5*1000/12</f>
        <v>6.027727546714889</v>
      </c>
    </row>
    <row r="905" spans="2:6" x14ac:dyDescent="0.25">
      <c r="B905" s="15" t="s">
        <v>253</v>
      </c>
      <c r="C905" s="1" t="s">
        <v>26</v>
      </c>
      <c r="D905" s="1">
        <v>30</v>
      </c>
      <c r="E905" s="1">
        <v>25</v>
      </c>
      <c r="F905" s="24">
        <f t="shared" ref="F905:F915" si="22">E905/276.5*1000/12</f>
        <v>7.5346594333936103</v>
      </c>
    </row>
    <row r="906" spans="2:6" x14ac:dyDescent="0.25">
      <c r="B906" s="15" t="s">
        <v>276</v>
      </c>
      <c r="C906" s="1" t="s">
        <v>26</v>
      </c>
      <c r="D906" s="1">
        <v>24</v>
      </c>
      <c r="E906" s="1">
        <v>20</v>
      </c>
      <c r="F906" s="24">
        <f t="shared" si="22"/>
        <v>6.027727546714889</v>
      </c>
    </row>
    <row r="907" spans="2:6" x14ac:dyDescent="0.25">
      <c r="B907" s="15" t="s">
        <v>307</v>
      </c>
      <c r="C907" s="1" t="s">
        <v>26</v>
      </c>
      <c r="D907" s="1">
        <v>18</v>
      </c>
      <c r="E907" s="1">
        <v>10</v>
      </c>
      <c r="F907" s="24">
        <f t="shared" si="22"/>
        <v>3.0138637733574445</v>
      </c>
    </row>
    <row r="908" spans="2:6" x14ac:dyDescent="0.25">
      <c r="B908" s="1"/>
      <c r="C908" s="1"/>
      <c r="D908" s="1"/>
      <c r="E908" s="1"/>
      <c r="F908" s="24">
        <f t="shared" si="22"/>
        <v>0</v>
      </c>
    </row>
    <row r="909" spans="2:6" x14ac:dyDescent="0.25">
      <c r="B909" s="1"/>
      <c r="C909" s="1"/>
      <c r="D909" s="1"/>
      <c r="E909" s="1"/>
      <c r="F909" s="24">
        <f t="shared" si="22"/>
        <v>0</v>
      </c>
    </row>
    <row r="910" spans="2:6" x14ac:dyDescent="0.25">
      <c r="B910" s="1"/>
      <c r="C910" s="1"/>
      <c r="D910" s="1"/>
      <c r="E910" s="1"/>
      <c r="F910" s="24">
        <f t="shared" si="22"/>
        <v>0</v>
      </c>
    </row>
    <row r="911" spans="2:6" x14ac:dyDescent="0.25">
      <c r="B911" s="1"/>
      <c r="C911" s="1"/>
      <c r="D911" s="1"/>
      <c r="E911" s="1"/>
      <c r="F911" s="24">
        <f t="shared" si="22"/>
        <v>0</v>
      </c>
    </row>
    <row r="912" spans="2:6" x14ac:dyDescent="0.25">
      <c r="B912" s="1"/>
      <c r="C912" s="1"/>
      <c r="D912" s="1"/>
      <c r="E912" s="1"/>
      <c r="F912" s="24">
        <f t="shared" si="22"/>
        <v>0</v>
      </c>
    </row>
    <row r="913" spans="2:6" x14ac:dyDescent="0.25">
      <c r="B913" s="1"/>
      <c r="C913" s="1"/>
      <c r="D913" s="1"/>
      <c r="E913" s="1"/>
      <c r="F913" s="24">
        <f t="shared" si="22"/>
        <v>0</v>
      </c>
    </row>
    <row r="914" spans="2:6" x14ac:dyDescent="0.25">
      <c r="B914" s="1"/>
      <c r="C914" s="1"/>
      <c r="D914" s="1"/>
      <c r="E914" s="1"/>
      <c r="F914" s="24">
        <f t="shared" si="22"/>
        <v>0</v>
      </c>
    </row>
    <row r="915" spans="2:6" x14ac:dyDescent="0.25">
      <c r="B915" s="1"/>
      <c r="C915" s="1"/>
      <c r="D915" s="1"/>
      <c r="E915" s="1"/>
      <c r="F915" s="24">
        <f t="shared" si="22"/>
        <v>0</v>
      </c>
    </row>
    <row r="916" spans="2:6" x14ac:dyDescent="0.25">
      <c r="B916" s="10" t="s">
        <v>20</v>
      </c>
      <c r="C916" s="1"/>
      <c r="D916" s="1"/>
      <c r="E916" s="4">
        <f>SUM(E904:E915)</f>
        <v>75</v>
      </c>
      <c r="F916" s="22">
        <f>SUM(F904:F915)</f>
        <v>22.603978300180835</v>
      </c>
    </row>
    <row r="917" spans="2:6" x14ac:dyDescent="0.25">
      <c r="B917" s="4" t="s">
        <v>22</v>
      </c>
      <c r="C917" s="6"/>
      <c r="D917" s="6"/>
      <c r="E917" s="6"/>
      <c r="F917" s="23">
        <f>F902+F916</f>
        <v>36.833978300180831</v>
      </c>
    </row>
    <row r="918" spans="2:6" x14ac:dyDescent="0.25">
      <c r="B918" s="7"/>
      <c r="C918" s="7"/>
      <c r="D918" s="7"/>
      <c r="E918" s="7"/>
      <c r="F918" s="7"/>
    </row>
    <row r="919" spans="2:6" x14ac:dyDescent="0.25">
      <c r="B919" s="20"/>
      <c r="C919" s="20"/>
      <c r="D919" s="20"/>
      <c r="E919" s="20"/>
      <c r="F919" s="20"/>
    </row>
    <row r="920" spans="2:6" x14ac:dyDescent="0.25">
      <c r="B920" s="20"/>
      <c r="C920" s="20"/>
      <c r="D920" s="20"/>
      <c r="E920" s="20"/>
      <c r="F920" s="20"/>
    </row>
    <row r="921" spans="2:6" x14ac:dyDescent="0.25">
      <c r="B921" s="39" t="s">
        <v>23</v>
      </c>
      <c r="C921" s="38"/>
      <c r="D921" s="38"/>
      <c r="E921" s="39" t="s">
        <v>24</v>
      </c>
      <c r="F921" s="38"/>
    </row>
    <row r="923" spans="2:6" ht="25.15" customHeight="1" x14ac:dyDescent="0.25">
      <c r="B923" s="37" t="s">
        <v>250</v>
      </c>
      <c r="C923" s="37"/>
      <c r="D923" s="37"/>
      <c r="E923" s="37"/>
      <c r="F923" s="37"/>
    </row>
    <row r="924" spans="2:6" ht="31.9" customHeight="1" x14ac:dyDescent="0.25">
      <c r="B924" s="37" t="s">
        <v>1</v>
      </c>
      <c r="C924" s="37"/>
      <c r="D924" s="37"/>
      <c r="E924" s="37"/>
      <c r="F924" s="37"/>
    </row>
    <row r="925" spans="2:6" x14ac:dyDescent="0.25">
      <c r="B925" s="19" t="s">
        <v>0</v>
      </c>
      <c r="C925" s="19"/>
      <c r="D925" s="19"/>
      <c r="E925" s="19"/>
      <c r="F925" s="19"/>
    </row>
    <row r="926" spans="2:6" x14ac:dyDescent="0.25">
      <c r="B926" s="21"/>
      <c r="C926" s="38" t="s">
        <v>25</v>
      </c>
      <c r="D926" s="38"/>
      <c r="E926" s="21">
        <v>514.79999999999995</v>
      </c>
      <c r="F926" s="21" t="s">
        <v>26</v>
      </c>
    </row>
    <row r="928" spans="2:6" ht="60" x14ac:dyDescent="0.25">
      <c r="B928" s="1" t="s">
        <v>2</v>
      </c>
      <c r="C928" s="1" t="s">
        <v>4</v>
      </c>
      <c r="D928" s="1" t="s">
        <v>3</v>
      </c>
      <c r="E928" s="1" t="s">
        <v>447</v>
      </c>
      <c r="F928" s="1" t="s">
        <v>5</v>
      </c>
    </row>
    <row r="929" spans="2:6" x14ac:dyDescent="0.25">
      <c r="B929" s="1"/>
      <c r="C929" s="1"/>
      <c r="D929" s="1"/>
      <c r="E929" s="1"/>
      <c r="F929" s="1"/>
    </row>
    <row r="930" spans="2:6" x14ac:dyDescent="0.25">
      <c r="B930" s="3" t="s">
        <v>6</v>
      </c>
      <c r="C930" s="1"/>
      <c r="D930" s="1"/>
      <c r="E930" s="1"/>
      <c r="F930" s="1"/>
    </row>
    <row r="931" spans="2:6" x14ac:dyDescent="0.25">
      <c r="B931" s="5" t="s">
        <v>7</v>
      </c>
      <c r="C931" s="1"/>
      <c r="D931" s="1"/>
      <c r="E931" s="1"/>
      <c r="F931" s="5">
        <v>2.0099999999999998</v>
      </c>
    </row>
    <row r="932" spans="2:6" x14ac:dyDescent="0.25">
      <c r="B932" s="5" t="s">
        <v>8</v>
      </c>
      <c r="C932" s="1"/>
      <c r="D932" s="1"/>
      <c r="E932" s="1"/>
      <c r="F932" s="5">
        <v>5.34</v>
      </c>
    </row>
    <row r="933" spans="2:6" ht="24.75" x14ac:dyDescent="0.25">
      <c r="B933" s="5" t="s">
        <v>11</v>
      </c>
      <c r="C933" s="1"/>
      <c r="D933" s="1"/>
      <c r="E933" s="1"/>
      <c r="F933" s="5">
        <v>0.55000000000000004</v>
      </c>
    </row>
    <row r="934" spans="2:6" ht="24.75" x14ac:dyDescent="0.25">
      <c r="B934" s="5" t="s">
        <v>12</v>
      </c>
      <c r="C934" s="1"/>
      <c r="D934" s="1"/>
      <c r="E934" s="1"/>
      <c r="F934" s="5">
        <v>0.53</v>
      </c>
    </row>
    <row r="935" spans="2:6" ht="24.75" x14ac:dyDescent="0.25">
      <c r="B935" s="5" t="s">
        <v>13</v>
      </c>
      <c r="C935" s="1"/>
      <c r="D935" s="1"/>
      <c r="E935" s="1"/>
      <c r="F935" s="5">
        <v>0.19</v>
      </c>
    </row>
    <row r="936" spans="2:6" ht="24.75" x14ac:dyDescent="0.25">
      <c r="B936" s="5" t="s">
        <v>9</v>
      </c>
      <c r="C936" s="1"/>
      <c r="D936" s="1"/>
      <c r="E936" s="1"/>
      <c r="F936" s="5">
        <v>0.26</v>
      </c>
    </row>
    <row r="937" spans="2:6" ht="24.75" x14ac:dyDescent="0.25">
      <c r="B937" s="5" t="s">
        <v>15</v>
      </c>
      <c r="C937" s="1"/>
      <c r="D937" s="1"/>
      <c r="E937" s="1"/>
      <c r="F937" s="5">
        <v>0.27</v>
      </c>
    </row>
    <row r="938" spans="2:6" ht="24.75" x14ac:dyDescent="0.25">
      <c r="B938" s="5" t="s">
        <v>16</v>
      </c>
      <c r="C938" s="1"/>
      <c r="D938" s="1"/>
      <c r="E938" s="1"/>
      <c r="F938" s="5">
        <v>0.28999999999999998</v>
      </c>
    </row>
    <row r="939" spans="2:6" x14ac:dyDescent="0.25">
      <c r="B939" s="5" t="s">
        <v>17</v>
      </c>
      <c r="C939" s="1"/>
      <c r="D939" s="1"/>
      <c r="E939" s="1"/>
      <c r="F939" s="5">
        <v>0.32</v>
      </c>
    </row>
    <row r="940" spans="2:6" x14ac:dyDescent="0.25">
      <c r="B940" s="5" t="s">
        <v>18</v>
      </c>
      <c r="C940" s="1"/>
      <c r="D940" s="1"/>
      <c r="E940" s="1"/>
      <c r="F940" s="5">
        <v>1.97</v>
      </c>
    </row>
    <row r="941" spans="2:6" x14ac:dyDescent="0.25">
      <c r="B941" s="5" t="s">
        <v>19</v>
      </c>
      <c r="C941" s="1"/>
      <c r="D941" s="1"/>
      <c r="E941" s="1"/>
      <c r="F941" s="5">
        <v>3.51</v>
      </c>
    </row>
    <row r="942" spans="2:6" x14ac:dyDescent="0.25">
      <c r="B942" s="10" t="s">
        <v>20</v>
      </c>
      <c r="C942" s="1"/>
      <c r="D942" s="1"/>
      <c r="E942" s="1"/>
      <c r="F942" s="22">
        <f>SUM(F931:F941)</f>
        <v>15.239999999999998</v>
      </c>
    </row>
    <row r="943" spans="2:6" x14ac:dyDescent="0.25">
      <c r="B943" s="3" t="s">
        <v>21</v>
      </c>
      <c r="C943" s="1"/>
      <c r="D943" s="1"/>
      <c r="E943" s="1"/>
      <c r="F943" s="1"/>
    </row>
    <row r="944" spans="2:6" x14ac:dyDescent="0.25">
      <c r="B944" s="15" t="s">
        <v>252</v>
      </c>
      <c r="C944" s="1" t="s">
        <v>256</v>
      </c>
      <c r="D944" s="1">
        <v>2</v>
      </c>
      <c r="E944" s="1">
        <v>80</v>
      </c>
      <c r="F944" s="24">
        <f>E944/514.8*1000/12</f>
        <v>12.950012950012953</v>
      </c>
    </row>
    <row r="945" spans="2:6" x14ac:dyDescent="0.25">
      <c r="B945" s="15" t="s">
        <v>301</v>
      </c>
      <c r="C945" s="1" t="s">
        <v>265</v>
      </c>
      <c r="D945" s="1">
        <v>2</v>
      </c>
      <c r="E945" s="1">
        <v>20</v>
      </c>
      <c r="F945" s="24">
        <f t="shared" ref="F945:F955" si="23">E945/514.8*1000/12</f>
        <v>3.2375032375032382</v>
      </c>
    </row>
    <row r="946" spans="2:6" x14ac:dyDescent="0.25">
      <c r="B946" s="15" t="s">
        <v>264</v>
      </c>
      <c r="C946" s="1" t="s">
        <v>265</v>
      </c>
      <c r="D946" s="1">
        <v>1</v>
      </c>
      <c r="E946" s="1">
        <v>15</v>
      </c>
      <c r="F946" s="24">
        <f t="shared" si="23"/>
        <v>2.4281274281274281</v>
      </c>
    </row>
    <row r="947" spans="2:6" x14ac:dyDescent="0.25">
      <c r="B947" s="15" t="s">
        <v>253</v>
      </c>
      <c r="C947" s="1" t="s">
        <v>26</v>
      </c>
      <c r="D947" s="1">
        <v>86</v>
      </c>
      <c r="E947" s="1">
        <v>65</v>
      </c>
      <c r="F947" s="24">
        <f t="shared" si="23"/>
        <v>10.521885521885523</v>
      </c>
    </row>
    <row r="948" spans="2:6" x14ac:dyDescent="0.25">
      <c r="B948" s="15" t="s">
        <v>254</v>
      </c>
      <c r="C948" s="1" t="s">
        <v>26</v>
      </c>
      <c r="D948" s="1">
        <v>40</v>
      </c>
      <c r="E948" s="1">
        <v>25</v>
      </c>
      <c r="F948" s="24">
        <f t="shared" si="23"/>
        <v>4.046879046879047</v>
      </c>
    </row>
    <row r="949" spans="2:6" x14ac:dyDescent="0.25">
      <c r="B949" s="15" t="s">
        <v>308</v>
      </c>
      <c r="C949" s="1" t="s">
        <v>261</v>
      </c>
      <c r="D949" s="1">
        <v>6</v>
      </c>
      <c r="E949" s="1">
        <v>7.5</v>
      </c>
      <c r="F949" s="24">
        <f t="shared" si="23"/>
        <v>1.2140637140637141</v>
      </c>
    </row>
    <row r="950" spans="2:6" x14ac:dyDescent="0.25">
      <c r="B950" s="15" t="s">
        <v>260</v>
      </c>
      <c r="C950" s="1" t="s">
        <v>256</v>
      </c>
      <c r="D950" s="1">
        <v>2</v>
      </c>
      <c r="E950" s="1">
        <v>110</v>
      </c>
      <c r="F950" s="24">
        <f t="shared" si="23"/>
        <v>17.806267806267808</v>
      </c>
    </row>
    <row r="951" spans="2:6" x14ac:dyDescent="0.25">
      <c r="B951" s="1"/>
      <c r="C951" s="1"/>
      <c r="D951" s="1"/>
      <c r="E951" s="1"/>
      <c r="F951" s="24">
        <f t="shared" si="23"/>
        <v>0</v>
      </c>
    </row>
    <row r="952" spans="2:6" x14ac:dyDescent="0.25">
      <c r="B952" s="1"/>
      <c r="C952" s="1"/>
      <c r="D952" s="1"/>
      <c r="E952" s="1"/>
      <c r="F952" s="24">
        <f t="shared" si="23"/>
        <v>0</v>
      </c>
    </row>
    <row r="953" spans="2:6" x14ac:dyDescent="0.25">
      <c r="B953" s="1"/>
      <c r="C953" s="1"/>
      <c r="D953" s="1"/>
      <c r="E953" s="1"/>
      <c r="F953" s="24">
        <f t="shared" si="23"/>
        <v>0</v>
      </c>
    </row>
    <row r="954" spans="2:6" x14ac:dyDescent="0.25">
      <c r="B954" s="1"/>
      <c r="C954" s="1"/>
      <c r="D954" s="1"/>
      <c r="E954" s="1"/>
      <c r="F954" s="24">
        <f t="shared" si="23"/>
        <v>0</v>
      </c>
    </row>
    <row r="955" spans="2:6" x14ac:dyDescent="0.25">
      <c r="B955" s="1"/>
      <c r="C955" s="1"/>
      <c r="D955" s="1"/>
      <c r="E955" s="1"/>
      <c r="F955" s="24">
        <f t="shared" si="23"/>
        <v>0</v>
      </c>
    </row>
    <row r="956" spans="2:6" x14ac:dyDescent="0.25">
      <c r="B956" s="10" t="s">
        <v>20</v>
      </c>
      <c r="C956" s="1"/>
      <c r="D956" s="1"/>
      <c r="E956" s="4">
        <f>SUM(E944:E955)</f>
        <v>322.5</v>
      </c>
      <c r="F956" s="22">
        <f>SUM(F944:F955)</f>
        <v>52.204739704739708</v>
      </c>
    </row>
    <row r="957" spans="2:6" x14ac:dyDescent="0.25">
      <c r="B957" s="4" t="s">
        <v>22</v>
      </c>
      <c r="C957" s="6"/>
      <c r="D957" s="6"/>
      <c r="E957" s="6"/>
      <c r="F957" s="23">
        <f>F942+F956</f>
        <v>67.444739704739703</v>
      </c>
    </row>
    <row r="958" spans="2:6" x14ac:dyDescent="0.25">
      <c r="B958" s="7"/>
      <c r="C958" s="7"/>
      <c r="D958" s="7"/>
      <c r="E958" s="7"/>
      <c r="F958" s="7"/>
    </row>
    <row r="959" spans="2:6" x14ac:dyDescent="0.25">
      <c r="B959" s="20"/>
      <c r="C959" s="20"/>
      <c r="D959" s="20"/>
      <c r="E959" s="20"/>
      <c r="F959" s="20"/>
    </row>
    <row r="960" spans="2:6" x14ac:dyDescent="0.25">
      <c r="B960" s="20"/>
      <c r="C960" s="20"/>
      <c r="D960" s="20"/>
      <c r="E960" s="20"/>
      <c r="F960" s="20"/>
    </row>
    <row r="961" spans="2:6" x14ac:dyDescent="0.25">
      <c r="B961" s="39" t="s">
        <v>23</v>
      </c>
      <c r="C961" s="38"/>
      <c r="D961" s="38"/>
      <c r="E961" s="39" t="s">
        <v>24</v>
      </c>
      <c r="F961" s="38"/>
    </row>
    <row r="963" spans="2:6" ht="30.6" customHeight="1" x14ac:dyDescent="0.25">
      <c r="B963" s="37" t="s">
        <v>251</v>
      </c>
      <c r="C963" s="37"/>
      <c r="D963" s="37"/>
      <c r="E963" s="37"/>
      <c r="F963" s="37"/>
    </row>
    <row r="964" spans="2:6" ht="30.6" customHeight="1" x14ac:dyDescent="0.25">
      <c r="B964" s="37" t="s">
        <v>1</v>
      </c>
      <c r="C964" s="37"/>
      <c r="D964" s="37"/>
      <c r="E964" s="37"/>
      <c r="F964" s="37"/>
    </row>
    <row r="965" spans="2:6" x14ac:dyDescent="0.25">
      <c r="B965" s="19" t="s">
        <v>0</v>
      </c>
      <c r="C965" s="19"/>
      <c r="D965" s="19"/>
      <c r="E965" s="19"/>
      <c r="F965" s="19"/>
    </row>
    <row r="966" spans="2:6" x14ac:dyDescent="0.25">
      <c r="B966" s="21"/>
      <c r="C966" s="38" t="s">
        <v>25</v>
      </c>
      <c r="D966" s="38"/>
      <c r="E966" s="21">
        <v>208.6</v>
      </c>
      <c r="F966" s="21" t="s">
        <v>26</v>
      </c>
    </row>
    <row r="968" spans="2:6" ht="60" x14ac:dyDescent="0.25">
      <c r="B968" s="1" t="s">
        <v>2</v>
      </c>
      <c r="C968" s="1" t="s">
        <v>4</v>
      </c>
      <c r="D968" s="1" t="s">
        <v>3</v>
      </c>
      <c r="E968" s="1" t="s">
        <v>447</v>
      </c>
      <c r="F968" s="1" t="s">
        <v>5</v>
      </c>
    </row>
    <row r="969" spans="2:6" x14ac:dyDescent="0.25">
      <c r="B969" s="1"/>
      <c r="C969" s="1"/>
      <c r="D969" s="1"/>
      <c r="E969" s="1"/>
      <c r="F969" s="1"/>
    </row>
    <row r="970" spans="2:6" x14ac:dyDescent="0.25">
      <c r="B970" s="3" t="s">
        <v>6</v>
      </c>
      <c r="C970" s="1"/>
      <c r="D970" s="1"/>
      <c r="E970" s="1"/>
      <c r="F970" s="1"/>
    </row>
    <row r="971" spans="2:6" x14ac:dyDescent="0.25">
      <c r="B971" s="5" t="s">
        <v>7</v>
      </c>
      <c r="C971" s="1"/>
      <c r="D971" s="1"/>
      <c r="E971" s="1"/>
      <c r="F971" s="5">
        <v>2.0099999999999998</v>
      </c>
    </row>
    <row r="972" spans="2:6" x14ac:dyDescent="0.25">
      <c r="B972" s="5" t="s">
        <v>8</v>
      </c>
      <c r="C972" s="1"/>
      <c r="D972" s="1"/>
      <c r="E972" s="1"/>
      <c r="F972" s="5">
        <v>5.34</v>
      </c>
    </row>
    <row r="973" spans="2:6" ht="24.75" x14ac:dyDescent="0.25">
      <c r="B973" s="5" t="s">
        <v>11</v>
      </c>
      <c r="C973" s="1"/>
      <c r="D973" s="1"/>
      <c r="E973" s="1"/>
      <c r="F973" s="5">
        <v>0.55000000000000004</v>
      </c>
    </row>
    <row r="974" spans="2:6" ht="24.75" x14ac:dyDescent="0.25">
      <c r="B974" s="5" t="s">
        <v>12</v>
      </c>
      <c r="C974" s="1"/>
      <c r="D974" s="1"/>
      <c r="E974" s="1"/>
      <c r="F974" s="5">
        <v>0.53</v>
      </c>
    </row>
    <row r="975" spans="2:6" ht="24.75" x14ac:dyDescent="0.25">
      <c r="B975" s="5" t="s">
        <v>13</v>
      </c>
      <c r="C975" s="1"/>
      <c r="D975" s="1"/>
      <c r="E975" s="1"/>
      <c r="F975" s="5">
        <v>0.19</v>
      </c>
    </row>
    <row r="976" spans="2:6" ht="24.75" x14ac:dyDescent="0.25">
      <c r="B976" s="5" t="s">
        <v>9</v>
      </c>
      <c r="C976" s="1"/>
      <c r="D976" s="1"/>
      <c r="E976" s="1"/>
      <c r="F976" s="5">
        <v>0.26</v>
      </c>
    </row>
    <row r="977" spans="2:6" ht="24.75" x14ac:dyDescent="0.25">
      <c r="B977" s="5" t="s">
        <v>15</v>
      </c>
      <c r="C977" s="1"/>
      <c r="D977" s="1"/>
      <c r="E977" s="1"/>
      <c r="F977" s="5">
        <v>0.27</v>
      </c>
    </row>
    <row r="978" spans="2:6" ht="24.75" x14ac:dyDescent="0.25">
      <c r="B978" s="5" t="s">
        <v>16</v>
      </c>
      <c r="C978" s="1"/>
      <c r="D978" s="1"/>
      <c r="E978" s="1"/>
      <c r="F978" s="5">
        <v>0.28999999999999998</v>
      </c>
    </row>
    <row r="979" spans="2:6" x14ac:dyDescent="0.25">
      <c r="B979" s="5" t="s">
        <v>17</v>
      </c>
      <c r="C979" s="1"/>
      <c r="D979" s="1"/>
      <c r="E979" s="1"/>
      <c r="F979" s="5">
        <v>0.32</v>
      </c>
    </row>
    <row r="980" spans="2:6" x14ac:dyDescent="0.25">
      <c r="B980" s="5" t="s">
        <v>18</v>
      </c>
      <c r="C980" s="1"/>
      <c r="D980" s="1"/>
      <c r="E980" s="1"/>
      <c r="F980" s="5">
        <v>1.97</v>
      </c>
    </row>
    <row r="981" spans="2:6" x14ac:dyDescent="0.25">
      <c r="B981" s="5" t="s">
        <v>19</v>
      </c>
      <c r="C981" s="1"/>
      <c r="D981" s="1"/>
      <c r="E981" s="1"/>
      <c r="F981" s="5">
        <v>3.51</v>
      </c>
    </row>
    <row r="982" spans="2:6" x14ac:dyDescent="0.25">
      <c r="B982" s="10" t="s">
        <v>20</v>
      </c>
      <c r="C982" s="1"/>
      <c r="D982" s="1"/>
      <c r="E982" s="1"/>
      <c r="F982" s="22">
        <f>SUM(F971:F981)</f>
        <v>15.239999999999998</v>
      </c>
    </row>
    <row r="983" spans="2:6" x14ac:dyDescent="0.25">
      <c r="B983" s="3" t="s">
        <v>21</v>
      </c>
      <c r="C983" s="1"/>
      <c r="D983" s="1"/>
      <c r="E983" s="1"/>
      <c r="F983" s="1"/>
    </row>
    <row r="984" spans="2:6" x14ac:dyDescent="0.25">
      <c r="B984" s="15" t="s">
        <v>252</v>
      </c>
      <c r="C984" s="1" t="s">
        <v>256</v>
      </c>
      <c r="D984" s="1">
        <v>1</v>
      </c>
      <c r="E984" s="1">
        <v>40</v>
      </c>
      <c r="F984" s="24">
        <f>E984/208.6*1000/12</f>
        <v>15.979546180888462</v>
      </c>
    </row>
    <row r="985" spans="2:6" x14ac:dyDescent="0.25">
      <c r="B985" s="15" t="s">
        <v>253</v>
      </c>
      <c r="C985" s="1" t="s">
        <v>26</v>
      </c>
      <c r="D985" s="1">
        <v>60</v>
      </c>
      <c r="E985" s="1">
        <v>45</v>
      </c>
      <c r="F985" s="24">
        <f t="shared" ref="F985:F995" si="24">E985/208.6*1000/12</f>
        <v>17.97698945349952</v>
      </c>
    </row>
    <row r="986" spans="2:6" x14ac:dyDescent="0.25">
      <c r="B986" s="15" t="s">
        <v>293</v>
      </c>
      <c r="C986" s="1" t="s">
        <v>26</v>
      </c>
      <c r="D986" s="1">
        <v>12</v>
      </c>
      <c r="E986" s="1">
        <v>6</v>
      </c>
      <c r="F986" s="24">
        <f t="shared" si="24"/>
        <v>2.3969319271332696</v>
      </c>
    </row>
    <row r="987" spans="2:6" x14ac:dyDescent="0.25">
      <c r="B987" s="15" t="s">
        <v>254</v>
      </c>
      <c r="C987" s="1" t="s">
        <v>26</v>
      </c>
      <c r="D987" s="1">
        <v>40</v>
      </c>
      <c r="E987" s="1">
        <v>25</v>
      </c>
      <c r="F987" s="24">
        <f t="shared" si="24"/>
        <v>9.9872163630552908</v>
      </c>
    </row>
    <row r="988" spans="2:6" x14ac:dyDescent="0.25">
      <c r="B988" s="1"/>
      <c r="C988" s="1"/>
      <c r="D988" s="1"/>
      <c r="E988" s="1"/>
      <c r="F988" s="24">
        <f t="shared" si="24"/>
        <v>0</v>
      </c>
    </row>
    <row r="989" spans="2:6" x14ac:dyDescent="0.25">
      <c r="B989" s="1"/>
      <c r="C989" s="1"/>
      <c r="D989" s="1"/>
      <c r="E989" s="1"/>
      <c r="F989" s="24">
        <f t="shared" si="24"/>
        <v>0</v>
      </c>
    </row>
    <row r="990" spans="2:6" x14ac:dyDescent="0.25">
      <c r="B990" s="1"/>
      <c r="C990" s="1"/>
      <c r="D990" s="1"/>
      <c r="E990" s="1"/>
      <c r="F990" s="24">
        <f t="shared" si="24"/>
        <v>0</v>
      </c>
    </row>
    <row r="991" spans="2:6" x14ac:dyDescent="0.25">
      <c r="B991" s="1"/>
      <c r="C991" s="1"/>
      <c r="D991" s="1"/>
      <c r="E991" s="1"/>
      <c r="F991" s="24">
        <f t="shared" si="24"/>
        <v>0</v>
      </c>
    </row>
    <row r="992" spans="2:6" x14ac:dyDescent="0.25">
      <c r="B992" s="1"/>
      <c r="C992" s="1"/>
      <c r="D992" s="1"/>
      <c r="E992" s="1"/>
      <c r="F992" s="24">
        <f t="shared" si="24"/>
        <v>0</v>
      </c>
    </row>
    <row r="993" spans="2:6" x14ac:dyDescent="0.25">
      <c r="B993" s="1"/>
      <c r="C993" s="1"/>
      <c r="D993" s="1"/>
      <c r="E993" s="1"/>
      <c r="F993" s="24">
        <f t="shared" si="24"/>
        <v>0</v>
      </c>
    </row>
    <row r="994" spans="2:6" x14ac:dyDescent="0.25">
      <c r="B994" s="1"/>
      <c r="C994" s="1"/>
      <c r="D994" s="1"/>
      <c r="E994" s="1"/>
      <c r="F994" s="24">
        <f t="shared" si="24"/>
        <v>0</v>
      </c>
    </row>
    <row r="995" spans="2:6" x14ac:dyDescent="0.25">
      <c r="B995" s="1"/>
      <c r="C995" s="1"/>
      <c r="D995" s="1"/>
      <c r="E995" s="1"/>
      <c r="F995" s="24">
        <f t="shared" si="24"/>
        <v>0</v>
      </c>
    </row>
    <row r="996" spans="2:6" x14ac:dyDescent="0.25">
      <c r="B996" s="10" t="s">
        <v>20</v>
      </c>
      <c r="C996" s="1"/>
      <c r="D996" s="1"/>
      <c r="E996" s="4">
        <f>SUM(E984:E995)</f>
        <v>116</v>
      </c>
      <c r="F996" s="22">
        <f>SUM(F984:F995)</f>
        <v>46.340683924576538</v>
      </c>
    </row>
    <row r="997" spans="2:6" x14ac:dyDescent="0.25">
      <c r="B997" s="4" t="s">
        <v>22</v>
      </c>
      <c r="C997" s="6"/>
      <c r="D997" s="6"/>
      <c r="E997" s="6"/>
      <c r="F997" s="23">
        <f>F982+F996</f>
        <v>61.580683924576533</v>
      </c>
    </row>
    <row r="998" spans="2:6" x14ac:dyDescent="0.25">
      <c r="B998" s="7"/>
      <c r="C998" s="7"/>
      <c r="D998" s="7"/>
      <c r="E998" s="7"/>
      <c r="F998" s="7"/>
    </row>
    <row r="999" spans="2:6" x14ac:dyDescent="0.25">
      <c r="B999" s="20"/>
      <c r="C999" s="20"/>
      <c r="D999" s="20"/>
      <c r="E999" s="20"/>
      <c r="F999" s="20"/>
    </row>
    <row r="1000" spans="2:6" x14ac:dyDescent="0.25">
      <c r="B1000" s="20"/>
      <c r="C1000" s="20"/>
      <c r="D1000" s="20"/>
      <c r="E1000" s="20"/>
      <c r="F1000" s="20"/>
    </row>
    <row r="1001" spans="2:6" x14ac:dyDescent="0.25">
      <c r="B1001" s="39" t="s">
        <v>23</v>
      </c>
      <c r="C1001" s="38"/>
      <c r="D1001" s="38"/>
      <c r="E1001" s="39" t="s">
        <v>24</v>
      </c>
      <c r="F1001" s="38"/>
    </row>
  </sheetData>
  <mergeCells count="125">
    <mergeCell ref="B963:F963"/>
    <mergeCell ref="B964:F964"/>
    <mergeCell ref="C966:D966"/>
    <mergeCell ref="B1001:D1001"/>
    <mergeCell ref="E1001:F1001"/>
    <mergeCell ref="B923:F923"/>
    <mergeCell ref="B924:F924"/>
    <mergeCell ref="C926:D926"/>
    <mergeCell ref="B961:D961"/>
    <mergeCell ref="E961:F961"/>
    <mergeCell ref="B885:F885"/>
    <mergeCell ref="B886:F886"/>
    <mergeCell ref="C888:D888"/>
    <mergeCell ref="B921:D921"/>
    <mergeCell ref="E921:F921"/>
    <mergeCell ref="B845:F845"/>
    <mergeCell ref="B846:F846"/>
    <mergeCell ref="C848:D848"/>
    <mergeCell ref="B883:D883"/>
    <mergeCell ref="E883:F883"/>
    <mergeCell ref="B804:F804"/>
    <mergeCell ref="B805:F805"/>
    <mergeCell ref="C807:D807"/>
    <mergeCell ref="B843:D843"/>
    <mergeCell ref="E843:F843"/>
    <mergeCell ref="B764:F764"/>
    <mergeCell ref="B765:F765"/>
    <mergeCell ref="C767:D767"/>
    <mergeCell ref="B802:D802"/>
    <mergeCell ref="E802:F802"/>
    <mergeCell ref="B724:F724"/>
    <mergeCell ref="B725:F725"/>
    <mergeCell ref="C727:D727"/>
    <mergeCell ref="B762:D762"/>
    <mergeCell ref="E762:F762"/>
    <mergeCell ref="B684:F684"/>
    <mergeCell ref="B685:F685"/>
    <mergeCell ref="C687:D687"/>
    <mergeCell ref="B722:D722"/>
    <mergeCell ref="E722:F722"/>
    <mergeCell ref="B644:F644"/>
    <mergeCell ref="B645:F645"/>
    <mergeCell ref="C647:D647"/>
    <mergeCell ref="B682:D682"/>
    <mergeCell ref="E682:F682"/>
    <mergeCell ref="B604:F604"/>
    <mergeCell ref="B605:F605"/>
    <mergeCell ref="C607:D607"/>
    <mergeCell ref="B642:D642"/>
    <mergeCell ref="E642:F642"/>
    <mergeCell ref="B563:F563"/>
    <mergeCell ref="B564:F564"/>
    <mergeCell ref="C566:D566"/>
    <mergeCell ref="B602:D602"/>
    <mergeCell ref="E602:F602"/>
    <mergeCell ref="B522:F522"/>
    <mergeCell ref="B523:F523"/>
    <mergeCell ref="C525:D525"/>
    <mergeCell ref="B561:D561"/>
    <mergeCell ref="E561:F561"/>
    <mergeCell ref="B482:F482"/>
    <mergeCell ref="B483:F483"/>
    <mergeCell ref="C485:D485"/>
    <mergeCell ref="B520:D520"/>
    <mergeCell ref="E520:F520"/>
    <mergeCell ref="B442:F442"/>
    <mergeCell ref="B443:F443"/>
    <mergeCell ref="C445:D445"/>
    <mergeCell ref="B480:D480"/>
    <mergeCell ref="E480:F480"/>
    <mergeCell ref="B402:F402"/>
    <mergeCell ref="B403:F403"/>
    <mergeCell ref="C405:D405"/>
    <mergeCell ref="B440:D440"/>
    <mergeCell ref="E440:F440"/>
    <mergeCell ref="B362:F362"/>
    <mergeCell ref="B363:F363"/>
    <mergeCell ref="C365:D365"/>
    <mergeCell ref="B400:D400"/>
    <mergeCell ref="E400:F400"/>
    <mergeCell ref="B83:F83"/>
    <mergeCell ref="B2:F2"/>
    <mergeCell ref="B3:F3"/>
    <mergeCell ref="C5:D5"/>
    <mergeCell ref="B40:D40"/>
    <mergeCell ref="E40:F40"/>
    <mergeCell ref="B42:F42"/>
    <mergeCell ref="B43:F43"/>
    <mergeCell ref="C45:D45"/>
    <mergeCell ref="B80:D80"/>
    <mergeCell ref="E80:F80"/>
    <mergeCell ref="B82:F82"/>
    <mergeCell ref="B283:F283"/>
    <mergeCell ref="B200:D200"/>
    <mergeCell ref="E200:F200"/>
    <mergeCell ref="C85:D85"/>
    <mergeCell ref="B120:D120"/>
    <mergeCell ref="E120:F120"/>
    <mergeCell ref="B122:F122"/>
    <mergeCell ref="B123:F123"/>
    <mergeCell ref="C125:D125"/>
    <mergeCell ref="B160:D160"/>
    <mergeCell ref="E160:F160"/>
    <mergeCell ref="B162:F162"/>
    <mergeCell ref="B163:F163"/>
    <mergeCell ref="C165:D165"/>
    <mergeCell ref="B202:F202"/>
    <mergeCell ref="B203:F203"/>
    <mergeCell ref="C205:D205"/>
    <mergeCell ref="B240:D240"/>
    <mergeCell ref="E240:F240"/>
    <mergeCell ref="B242:F242"/>
    <mergeCell ref="B243:F243"/>
    <mergeCell ref="C245:D245"/>
    <mergeCell ref="B281:D281"/>
    <mergeCell ref="E281:F281"/>
    <mergeCell ref="B360:D360"/>
    <mergeCell ref="E360:F360"/>
    <mergeCell ref="C286:D286"/>
    <mergeCell ref="B320:D320"/>
    <mergeCell ref="E320:F320"/>
    <mergeCell ref="B322:F322"/>
    <mergeCell ref="B323:F323"/>
    <mergeCell ref="C325:D325"/>
    <mergeCell ref="B284:F284"/>
  </mergeCells>
  <pageMargins left="0.7" right="0.7" top="0.75" bottom="0.75" header="0.3" footer="0.3"/>
  <pageSetup paperSize="9" orientation="portrait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0"/>
  <sheetViews>
    <sheetView topLeftCell="A376" workbookViewId="0">
      <selection activeCell="F108" sqref="F108"/>
    </sheetView>
  </sheetViews>
  <sheetFormatPr defaultRowHeight="15" x14ac:dyDescent="0.25"/>
  <cols>
    <col min="2" max="2" width="41.140625" customWidth="1"/>
    <col min="6" max="6" width="11.42578125" bestFit="1" customWidth="1"/>
  </cols>
  <sheetData>
    <row r="1" spans="2:6" ht="31.15" customHeight="1" x14ac:dyDescent="0.25">
      <c r="B1" s="37" t="s">
        <v>41</v>
      </c>
      <c r="C1" s="37"/>
      <c r="D1" s="37"/>
      <c r="E1" s="37"/>
      <c r="F1" s="37"/>
    </row>
    <row r="2" spans="2:6" ht="28.9" customHeight="1" x14ac:dyDescent="0.25">
      <c r="B2" s="37" t="s">
        <v>1</v>
      </c>
      <c r="C2" s="37"/>
      <c r="D2" s="37"/>
      <c r="E2" s="37"/>
      <c r="F2" s="37"/>
    </row>
    <row r="3" spans="2:6" x14ac:dyDescent="0.25">
      <c r="B3" s="14" t="s">
        <v>0</v>
      </c>
      <c r="C3" s="14"/>
      <c r="D3" s="14"/>
      <c r="E3" s="14"/>
      <c r="F3" s="14"/>
    </row>
    <row r="4" spans="2:6" x14ac:dyDescent="0.25">
      <c r="B4" s="12"/>
      <c r="C4" s="38" t="s">
        <v>25</v>
      </c>
      <c r="D4" s="38"/>
      <c r="E4" s="12">
        <v>550.5</v>
      </c>
      <c r="F4" s="12" t="s">
        <v>26</v>
      </c>
    </row>
    <row r="6" spans="2:6" ht="60" x14ac:dyDescent="0.25">
      <c r="B6" s="1" t="s">
        <v>2</v>
      </c>
      <c r="C6" s="1" t="s">
        <v>4</v>
      </c>
      <c r="D6" s="1" t="s">
        <v>3</v>
      </c>
      <c r="E6" s="1" t="s">
        <v>443</v>
      </c>
      <c r="F6" s="1" t="s">
        <v>5</v>
      </c>
    </row>
    <row r="7" spans="2:6" x14ac:dyDescent="0.25">
      <c r="B7" s="1"/>
      <c r="C7" s="1"/>
      <c r="D7" s="1"/>
      <c r="E7" s="1"/>
      <c r="F7" s="1"/>
    </row>
    <row r="8" spans="2:6" x14ac:dyDescent="0.25">
      <c r="B8" s="3" t="s">
        <v>6</v>
      </c>
      <c r="C8" s="1"/>
      <c r="D8" s="1"/>
      <c r="E8" s="1"/>
      <c r="F8" s="1"/>
    </row>
    <row r="9" spans="2:6" x14ac:dyDescent="0.25">
      <c r="B9" s="5" t="s">
        <v>7</v>
      </c>
      <c r="C9" s="1"/>
      <c r="D9" s="1"/>
      <c r="E9" s="1"/>
      <c r="F9" s="5">
        <v>2.0099999999999998</v>
      </c>
    </row>
    <row r="10" spans="2:6" x14ac:dyDescent="0.25">
      <c r="B10" s="5" t="s">
        <v>8</v>
      </c>
      <c r="C10" s="1"/>
      <c r="D10" s="1"/>
      <c r="E10" s="1"/>
      <c r="F10" s="5">
        <v>5.34</v>
      </c>
    </row>
    <row r="11" spans="2:6" ht="24.75" x14ac:dyDescent="0.25">
      <c r="B11" s="5" t="s">
        <v>11</v>
      </c>
      <c r="C11" s="1"/>
      <c r="D11" s="1"/>
      <c r="E11" s="1"/>
      <c r="F11" s="5">
        <v>0.55000000000000004</v>
      </c>
    </row>
    <row r="12" spans="2:6" ht="24.75" x14ac:dyDescent="0.25">
      <c r="B12" s="5" t="s">
        <v>12</v>
      </c>
      <c r="C12" s="1"/>
      <c r="D12" s="1"/>
      <c r="E12" s="1"/>
      <c r="F12" s="5">
        <v>0.53</v>
      </c>
    </row>
    <row r="13" spans="2:6" ht="24.75" x14ac:dyDescent="0.25">
      <c r="B13" s="5" t="s">
        <v>13</v>
      </c>
      <c r="C13" s="1"/>
      <c r="D13" s="1"/>
      <c r="E13" s="1"/>
      <c r="F13" s="5">
        <v>0.19</v>
      </c>
    </row>
    <row r="14" spans="2:6" ht="24.75" x14ac:dyDescent="0.25">
      <c r="B14" s="5" t="s">
        <v>14</v>
      </c>
      <c r="C14" s="1"/>
      <c r="D14" s="1"/>
      <c r="E14" s="1"/>
      <c r="F14" s="5">
        <v>1.25</v>
      </c>
    </row>
    <row r="15" spans="2:6" ht="24.75" x14ac:dyDescent="0.25">
      <c r="B15" s="5" t="s">
        <v>9</v>
      </c>
      <c r="C15" s="1"/>
      <c r="D15" s="1"/>
      <c r="E15" s="1"/>
      <c r="F15" s="5">
        <v>0.26</v>
      </c>
    </row>
    <row r="16" spans="2:6" ht="24.75" x14ac:dyDescent="0.25">
      <c r="B16" s="5" t="s">
        <v>15</v>
      </c>
      <c r="C16" s="1"/>
      <c r="D16" s="1"/>
      <c r="E16" s="1"/>
      <c r="F16" s="5">
        <v>0.27</v>
      </c>
    </row>
    <row r="17" spans="2:6" ht="24.75" x14ac:dyDescent="0.25">
      <c r="B17" s="5" t="s">
        <v>16</v>
      </c>
      <c r="C17" s="1"/>
      <c r="D17" s="1"/>
      <c r="E17" s="1"/>
      <c r="F17" s="5">
        <v>0.28999999999999998</v>
      </c>
    </row>
    <row r="18" spans="2:6" x14ac:dyDescent="0.25">
      <c r="B18" s="5" t="s">
        <v>17</v>
      </c>
      <c r="C18" s="1"/>
      <c r="D18" s="1"/>
      <c r="E18" s="1"/>
      <c r="F18" s="5">
        <v>0.32</v>
      </c>
    </row>
    <row r="19" spans="2:6" x14ac:dyDescent="0.25">
      <c r="B19" s="5" t="s">
        <v>18</v>
      </c>
      <c r="C19" s="1"/>
      <c r="D19" s="1"/>
      <c r="E19" s="1"/>
      <c r="F19" s="5">
        <v>1.97</v>
      </c>
    </row>
    <row r="20" spans="2:6" x14ac:dyDescent="0.25">
      <c r="B20" s="5" t="s">
        <v>19</v>
      </c>
      <c r="C20" s="1"/>
      <c r="D20" s="1"/>
      <c r="E20" s="1"/>
      <c r="F20" s="5">
        <v>3.95</v>
      </c>
    </row>
    <row r="21" spans="2:6" x14ac:dyDescent="0.25">
      <c r="B21" s="10" t="s">
        <v>20</v>
      </c>
      <c r="C21" s="1"/>
      <c r="D21" s="1"/>
      <c r="E21" s="1"/>
      <c r="F21" s="4">
        <f>SUM(F9:F20)</f>
        <v>16.93</v>
      </c>
    </row>
    <row r="22" spans="2:6" x14ac:dyDescent="0.25">
      <c r="B22" s="3" t="s">
        <v>21</v>
      </c>
      <c r="C22" s="1"/>
      <c r="D22" s="1"/>
      <c r="E22" s="1"/>
      <c r="F22" s="1"/>
    </row>
    <row r="23" spans="2:6" x14ac:dyDescent="0.25">
      <c r="B23" s="1" t="s">
        <v>357</v>
      </c>
      <c r="C23" s="1" t="s">
        <v>265</v>
      </c>
      <c r="D23" s="1">
        <v>1</v>
      </c>
      <c r="E23" s="1">
        <v>45</v>
      </c>
      <c r="F23" s="24">
        <f>E23/550.5*1000/12</f>
        <v>6.8119891008174385</v>
      </c>
    </row>
    <row r="24" spans="2:6" x14ac:dyDescent="0.25">
      <c r="B24" s="1" t="s">
        <v>327</v>
      </c>
      <c r="C24" s="1" t="s">
        <v>261</v>
      </c>
      <c r="D24" s="1">
        <v>40</v>
      </c>
      <c r="E24" s="1">
        <v>32</v>
      </c>
      <c r="F24" s="24">
        <f t="shared" ref="F24:F34" si="0">E24/550.5*1000/12</f>
        <v>4.8440811383590674</v>
      </c>
    </row>
    <row r="25" spans="2:6" x14ac:dyDescent="0.25">
      <c r="B25" s="1" t="s">
        <v>358</v>
      </c>
      <c r="C25" s="1" t="s">
        <v>26</v>
      </c>
      <c r="D25" s="1">
        <v>20</v>
      </c>
      <c r="E25" s="1">
        <v>12</v>
      </c>
      <c r="F25" s="24">
        <f t="shared" si="0"/>
        <v>1.8165304268846503</v>
      </c>
    </row>
    <row r="26" spans="2:6" x14ac:dyDescent="0.25">
      <c r="B26" s="1" t="s">
        <v>329</v>
      </c>
      <c r="C26" s="1" t="s">
        <v>26</v>
      </c>
      <c r="D26" s="1">
        <v>40</v>
      </c>
      <c r="E26" s="1">
        <v>48</v>
      </c>
      <c r="F26" s="24">
        <f t="shared" si="0"/>
        <v>7.2661217075386011</v>
      </c>
    </row>
    <row r="27" spans="2:6" x14ac:dyDescent="0.25">
      <c r="B27" s="1" t="s">
        <v>330</v>
      </c>
      <c r="C27" s="1" t="s">
        <v>261</v>
      </c>
      <c r="D27" s="1">
        <v>56</v>
      </c>
      <c r="E27" s="1">
        <v>72.5</v>
      </c>
      <c r="F27" s="24">
        <f t="shared" si="0"/>
        <v>10.974871329094762</v>
      </c>
    </row>
    <row r="28" spans="2:6" x14ac:dyDescent="0.25">
      <c r="B28" s="1" t="s">
        <v>319</v>
      </c>
      <c r="C28" s="1" t="s">
        <v>261</v>
      </c>
      <c r="D28" s="1">
        <v>25</v>
      </c>
      <c r="E28" s="1">
        <v>32.5</v>
      </c>
      <c r="F28" s="24">
        <f t="shared" si="0"/>
        <v>4.9197699061459277</v>
      </c>
    </row>
    <row r="29" spans="2:6" x14ac:dyDescent="0.25">
      <c r="B29" s="1" t="s">
        <v>359</v>
      </c>
      <c r="C29" s="1" t="s">
        <v>26</v>
      </c>
      <c r="D29" s="1">
        <v>2</v>
      </c>
      <c r="E29" s="1">
        <v>5</v>
      </c>
      <c r="F29" s="24">
        <f t="shared" si="0"/>
        <v>0.75688767786860434</v>
      </c>
    </row>
    <row r="30" spans="2:6" x14ac:dyDescent="0.25">
      <c r="B30" s="1" t="s">
        <v>320</v>
      </c>
      <c r="C30" s="1" t="s">
        <v>261</v>
      </c>
      <c r="D30" s="1">
        <v>38</v>
      </c>
      <c r="E30" s="1">
        <v>72.2</v>
      </c>
      <c r="F30" s="24">
        <f t="shared" si="0"/>
        <v>10.929458068422646</v>
      </c>
    </row>
    <row r="31" spans="2:6" x14ac:dyDescent="0.25">
      <c r="B31" s="1" t="s">
        <v>325</v>
      </c>
      <c r="C31" s="1" t="s">
        <v>261</v>
      </c>
      <c r="D31" s="1">
        <v>30</v>
      </c>
      <c r="E31" s="1">
        <v>57</v>
      </c>
      <c r="F31" s="24">
        <f t="shared" si="0"/>
        <v>8.628519527702089</v>
      </c>
    </row>
    <row r="32" spans="2:6" x14ac:dyDescent="0.25">
      <c r="B32" s="1"/>
      <c r="C32" s="1"/>
      <c r="D32" s="1"/>
      <c r="E32" s="1"/>
      <c r="F32" s="24"/>
    </row>
    <row r="33" spans="2:6" x14ac:dyDescent="0.25">
      <c r="B33" s="1" t="s">
        <v>322</v>
      </c>
      <c r="C33" s="1" t="s">
        <v>261</v>
      </c>
      <c r="D33" s="1">
        <v>120</v>
      </c>
      <c r="E33" s="1">
        <v>144</v>
      </c>
      <c r="F33" s="24">
        <f t="shared" si="0"/>
        <v>21.798365122615802</v>
      </c>
    </row>
    <row r="34" spans="2:6" x14ac:dyDescent="0.25">
      <c r="B34" s="1" t="s">
        <v>360</v>
      </c>
      <c r="C34" s="1" t="s">
        <v>261</v>
      </c>
      <c r="D34" s="1">
        <v>160</v>
      </c>
      <c r="E34" s="1">
        <v>160</v>
      </c>
      <c r="F34" s="24">
        <f t="shared" si="0"/>
        <v>24.220405691795339</v>
      </c>
    </row>
    <row r="35" spans="2:6" x14ac:dyDescent="0.25">
      <c r="B35" s="10" t="s">
        <v>20</v>
      </c>
      <c r="C35" s="1"/>
      <c r="D35" s="1"/>
      <c r="E35" s="4">
        <f>SUM(E23:E34)</f>
        <v>680.2</v>
      </c>
      <c r="F35" s="22">
        <f>SUM(F23:F34)</f>
        <v>102.96699969724493</v>
      </c>
    </row>
    <row r="36" spans="2:6" x14ac:dyDescent="0.25">
      <c r="B36" s="4" t="s">
        <v>22</v>
      </c>
      <c r="C36" s="6"/>
      <c r="D36" s="6"/>
      <c r="E36" s="6"/>
      <c r="F36" s="23">
        <f>F21+F35</f>
        <v>119.89699969724492</v>
      </c>
    </row>
    <row r="37" spans="2:6" x14ac:dyDescent="0.25">
      <c r="B37" s="7"/>
      <c r="C37" s="7"/>
      <c r="D37" s="7"/>
      <c r="E37" s="7"/>
      <c r="F37" s="7"/>
    </row>
    <row r="38" spans="2:6" x14ac:dyDescent="0.25">
      <c r="B38" s="13"/>
      <c r="C38" s="13"/>
      <c r="D38" s="13"/>
      <c r="E38" s="13"/>
      <c r="F38" s="13"/>
    </row>
    <row r="39" spans="2:6" x14ac:dyDescent="0.25">
      <c r="B39" s="13"/>
      <c r="C39" s="13"/>
      <c r="D39" s="13"/>
      <c r="E39" s="13"/>
      <c r="F39" s="13"/>
    </row>
    <row r="40" spans="2:6" x14ac:dyDescent="0.25">
      <c r="B40" s="39" t="s">
        <v>23</v>
      </c>
      <c r="C40" s="38"/>
      <c r="D40" s="13"/>
      <c r="E40" s="39" t="s">
        <v>24</v>
      </c>
      <c r="F40" s="38"/>
    </row>
    <row r="42" spans="2:6" ht="36.6" customHeight="1" x14ac:dyDescent="0.25">
      <c r="B42" s="37" t="s">
        <v>448</v>
      </c>
      <c r="C42" s="37"/>
      <c r="D42" s="37"/>
      <c r="E42" s="37"/>
      <c r="F42" s="37"/>
    </row>
    <row r="43" spans="2:6" ht="33.6" customHeight="1" x14ac:dyDescent="0.25">
      <c r="B43" s="37" t="s">
        <v>1</v>
      </c>
      <c r="C43" s="37"/>
      <c r="D43" s="37"/>
      <c r="E43" s="37"/>
      <c r="F43" s="37"/>
    </row>
    <row r="44" spans="2:6" x14ac:dyDescent="0.25">
      <c r="B44" s="14" t="s">
        <v>0</v>
      </c>
      <c r="C44" s="14"/>
      <c r="D44" s="14"/>
      <c r="E44" s="14"/>
      <c r="F44" s="14"/>
    </row>
    <row r="45" spans="2:6" x14ac:dyDescent="0.25">
      <c r="B45" s="12"/>
      <c r="C45" s="38" t="s">
        <v>25</v>
      </c>
      <c r="D45" s="38"/>
      <c r="E45" s="12">
        <v>544.20000000000005</v>
      </c>
      <c r="F45" s="12" t="s">
        <v>26</v>
      </c>
    </row>
    <row r="47" spans="2:6" ht="60" x14ac:dyDescent="0.25">
      <c r="B47" s="1" t="s">
        <v>2</v>
      </c>
      <c r="C47" s="1" t="s">
        <v>4</v>
      </c>
      <c r="D47" s="1" t="s">
        <v>3</v>
      </c>
      <c r="E47" s="1" t="s">
        <v>443</v>
      </c>
      <c r="F47" s="1" t="s">
        <v>5</v>
      </c>
    </row>
    <row r="48" spans="2:6" x14ac:dyDescent="0.25">
      <c r="B48" s="1"/>
      <c r="C48" s="1"/>
      <c r="D48" s="1"/>
      <c r="E48" s="1"/>
      <c r="F48" s="1"/>
    </row>
    <row r="49" spans="2:6" x14ac:dyDescent="0.25">
      <c r="B49" s="3" t="s">
        <v>6</v>
      </c>
      <c r="C49" s="1"/>
      <c r="D49" s="1"/>
      <c r="E49" s="1"/>
      <c r="F49" s="1"/>
    </row>
    <row r="50" spans="2:6" x14ac:dyDescent="0.25">
      <c r="B50" s="5" t="s">
        <v>7</v>
      </c>
      <c r="C50" s="1"/>
      <c r="D50" s="1"/>
      <c r="E50" s="1"/>
      <c r="F50" s="5">
        <v>2.0099999999999998</v>
      </c>
    </row>
    <row r="51" spans="2:6" x14ac:dyDescent="0.25">
      <c r="B51" s="5" t="s">
        <v>8</v>
      </c>
      <c r="C51" s="1"/>
      <c r="D51" s="1"/>
      <c r="E51" s="1"/>
      <c r="F51" s="5">
        <v>5.34</v>
      </c>
    </row>
    <row r="52" spans="2:6" ht="24.75" x14ac:dyDescent="0.25">
      <c r="B52" s="5" t="s">
        <v>11</v>
      </c>
      <c r="C52" s="1"/>
      <c r="D52" s="1"/>
      <c r="E52" s="1"/>
      <c r="F52" s="5">
        <v>0.55000000000000004</v>
      </c>
    </row>
    <row r="53" spans="2:6" ht="24.75" x14ac:dyDescent="0.25">
      <c r="B53" s="5" t="s">
        <v>12</v>
      </c>
      <c r="C53" s="1"/>
      <c r="D53" s="1"/>
      <c r="E53" s="1"/>
      <c r="F53" s="5">
        <v>0.53</v>
      </c>
    </row>
    <row r="54" spans="2:6" ht="24.75" x14ac:dyDescent="0.25">
      <c r="B54" s="5" t="s">
        <v>13</v>
      </c>
      <c r="C54" s="1"/>
      <c r="D54" s="1"/>
      <c r="E54" s="1"/>
      <c r="F54" s="5">
        <v>0.19</v>
      </c>
    </row>
    <row r="55" spans="2:6" ht="24.75" x14ac:dyDescent="0.25">
      <c r="B55" s="5" t="s">
        <v>14</v>
      </c>
      <c r="C55" s="1"/>
      <c r="D55" s="1"/>
      <c r="E55" s="1"/>
      <c r="F55" s="5">
        <v>1.25</v>
      </c>
    </row>
    <row r="56" spans="2:6" ht="24.75" x14ac:dyDescent="0.25">
      <c r="B56" s="5" t="s">
        <v>9</v>
      </c>
      <c r="C56" s="1"/>
      <c r="D56" s="1"/>
      <c r="E56" s="1"/>
      <c r="F56" s="5">
        <v>0.26</v>
      </c>
    </row>
    <row r="57" spans="2:6" ht="24.75" x14ac:dyDescent="0.25">
      <c r="B57" s="5" t="s">
        <v>15</v>
      </c>
      <c r="C57" s="1"/>
      <c r="D57" s="1"/>
      <c r="E57" s="1"/>
      <c r="F57" s="5">
        <v>0.01</v>
      </c>
    </row>
    <row r="58" spans="2:6" ht="24.75" x14ac:dyDescent="0.25">
      <c r="B58" s="5" t="s">
        <v>16</v>
      </c>
      <c r="C58" s="1"/>
      <c r="D58" s="1"/>
      <c r="E58" s="1"/>
      <c r="F58" s="5">
        <v>0.28999999999999998</v>
      </c>
    </row>
    <row r="59" spans="2:6" x14ac:dyDescent="0.25">
      <c r="B59" s="5" t="s">
        <v>17</v>
      </c>
      <c r="C59" s="1"/>
      <c r="D59" s="1"/>
      <c r="E59" s="1"/>
      <c r="F59" s="5">
        <v>0.32</v>
      </c>
    </row>
    <row r="60" spans="2:6" x14ac:dyDescent="0.25">
      <c r="B60" s="5" t="s">
        <v>18</v>
      </c>
      <c r="C60" s="1"/>
      <c r="D60" s="1"/>
      <c r="E60" s="1"/>
      <c r="F60" s="5">
        <v>1.97</v>
      </c>
    </row>
    <row r="61" spans="2:6" x14ac:dyDescent="0.25">
      <c r="B61" s="5" t="s">
        <v>19</v>
      </c>
      <c r="C61" s="1"/>
      <c r="D61" s="1"/>
      <c r="E61" s="1"/>
      <c r="F61" s="5">
        <v>3.95</v>
      </c>
    </row>
    <row r="62" spans="2:6" x14ac:dyDescent="0.25">
      <c r="B62" s="10" t="s">
        <v>20</v>
      </c>
      <c r="C62" s="1"/>
      <c r="D62" s="1"/>
      <c r="E62" s="1"/>
      <c r="F62" s="4">
        <f>SUM(F50:F61)</f>
        <v>16.669999999999998</v>
      </c>
    </row>
    <row r="63" spans="2:6" x14ac:dyDescent="0.25">
      <c r="B63" s="3" t="s">
        <v>21</v>
      </c>
      <c r="C63" s="1"/>
      <c r="D63" s="1"/>
      <c r="E63" s="1"/>
      <c r="F63" s="1"/>
    </row>
    <row r="64" spans="2:6" x14ac:dyDescent="0.25">
      <c r="B64" s="1" t="s">
        <v>357</v>
      </c>
      <c r="C64" s="1" t="s">
        <v>265</v>
      </c>
      <c r="D64" s="1">
        <v>1</v>
      </c>
      <c r="E64" s="1">
        <v>45</v>
      </c>
      <c r="F64" s="24">
        <f>E64/544.2*1000/12</f>
        <v>6.8908489525909582</v>
      </c>
    </row>
    <row r="65" spans="2:6" x14ac:dyDescent="0.25">
      <c r="B65" s="1" t="s">
        <v>275</v>
      </c>
      <c r="C65" s="1" t="s">
        <v>26</v>
      </c>
      <c r="D65" s="1">
        <v>88</v>
      </c>
      <c r="E65" s="1">
        <v>132</v>
      </c>
      <c r="F65" s="24">
        <f t="shared" ref="F65:F75" si="1">E65/544.2*1000/12</f>
        <v>20.213156927600146</v>
      </c>
    </row>
    <row r="66" spans="2:6" x14ac:dyDescent="0.25">
      <c r="B66" s="1" t="s">
        <v>335</v>
      </c>
      <c r="C66" s="1" t="s">
        <v>26</v>
      </c>
      <c r="D66" s="1">
        <v>10</v>
      </c>
      <c r="E66" s="1">
        <v>6</v>
      </c>
      <c r="F66" s="24">
        <f t="shared" si="1"/>
        <v>0.91877986034546122</v>
      </c>
    </row>
    <row r="67" spans="2:6" x14ac:dyDescent="0.25">
      <c r="B67" s="1" t="s">
        <v>330</v>
      </c>
      <c r="C67" s="1" t="s">
        <v>261</v>
      </c>
      <c r="D67" s="1">
        <v>56</v>
      </c>
      <c r="E67" s="1">
        <v>72.8</v>
      </c>
      <c r="F67" s="24">
        <f t="shared" si="1"/>
        <v>11.14786230552493</v>
      </c>
    </row>
    <row r="68" spans="2:6" x14ac:dyDescent="0.25">
      <c r="B68" s="1" t="s">
        <v>319</v>
      </c>
      <c r="C68" s="1" t="s">
        <v>261</v>
      </c>
      <c r="D68" s="1">
        <v>15</v>
      </c>
      <c r="E68" s="1">
        <v>19.5</v>
      </c>
      <c r="F68" s="24">
        <f t="shared" si="1"/>
        <v>2.9860345461227484</v>
      </c>
    </row>
    <row r="69" spans="2:6" x14ac:dyDescent="0.25">
      <c r="B69" s="1" t="s">
        <v>320</v>
      </c>
      <c r="C69" s="1" t="s">
        <v>261</v>
      </c>
      <c r="D69" s="1">
        <v>36</v>
      </c>
      <c r="E69" s="1">
        <v>68.400000000000006</v>
      </c>
      <c r="F69" s="24">
        <f t="shared" si="1"/>
        <v>10.474090407938258</v>
      </c>
    </row>
    <row r="70" spans="2:6" x14ac:dyDescent="0.25">
      <c r="B70" s="1" t="s">
        <v>325</v>
      </c>
      <c r="C70" s="1" t="s">
        <v>261</v>
      </c>
      <c r="D70" s="1">
        <v>30</v>
      </c>
      <c r="E70" s="1">
        <v>57</v>
      </c>
      <c r="F70" s="24">
        <f t="shared" si="1"/>
        <v>8.72840867328188</v>
      </c>
    </row>
    <row r="71" spans="2:6" x14ac:dyDescent="0.25">
      <c r="B71" s="1" t="s">
        <v>322</v>
      </c>
      <c r="C71" s="1" t="s">
        <v>261</v>
      </c>
      <c r="D71" s="1">
        <v>12</v>
      </c>
      <c r="E71" s="1">
        <v>144</v>
      </c>
      <c r="F71" s="24">
        <f t="shared" si="1"/>
        <v>22.050716648291068</v>
      </c>
    </row>
    <row r="72" spans="2:6" x14ac:dyDescent="0.25">
      <c r="B72" s="1" t="s">
        <v>323</v>
      </c>
      <c r="C72" s="1" t="s">
        <v>261</v>
      </c>
      <c r="D72" s="1">
        <v>160</v>
      </c>
      <c r="E72" s="1">
        <v>160</v>
      </c>
      <c r="F72" s="24">
        <f t="shared" si="1"/>
        <v>24.500796275878965</v>
      </c>
    </row>
    <row r="73" spans="2:6" x14ac:dyDescent="0.25">
      <c r="B73" s="1"/>
      <c r="C73" s="1"/>
      <c r="D73" s="1"/>
      <c r="E73" s="1"/>
      <c r="F73" s="24">
        <f t="shared" si="1"/>
        <v>0</v>
      </c>
    </row>
    <row r="74" spans="2:6" x14ac:dyDescent="0.25">
      <c r="B74" s="1"/>
      <c r="C74" s="1"/>
      <c r="D74" s="1"/>
      <c r="E74" s="1"/>
      <c r="F74" s="24">
        <f t="shared" si="1"/>
        <v>0</v>
      </c>
    </row>
    <row r="75" spans="2:6" x14ac:dyDescent="0.25">
      <c r="B75" s="1"/>
      <c r="C75" s="1"/>
      <c r="D75" s="1"/>
      <c r="E75" s="1"/>
      <c r="F75" s="24">
        <f t="shared" si="1"/>
        <v>0</v>
      </c>
    </row>
    <row r="76" spans="2:6" x14ac:dyDescent="0.25">
      <c r="B76" s="10" t="s">
        <v>20</v>
      </c>
      <c r="C76" s="1"/>
      <c r="D76" s="1"/>
      <c r="E76" s="4">
        <f>SUM(E64:E75)</f>
        <v>704.7</v>
      </c>
      <c r="F76" s="22">
        <f>SUM(F64:F75)</f>
        <v>107.91069459757442</v>
      </c>
    </row>
    <row r="77" spans="2:6" x14ac:dyDescent="0.25">
      <c r="B77" s="4" t="s">
        <v>22</v>
      </c>
      <c r="C77" s="6"/>
      <c r="D77" s="6"/>
      <c r="E77" s="6"/>
      <c r="F77" s="23">
        <f>F62+F76</f>
        <v>124.58069459757442</v>
      </c>
    </row>
    <row r="78" spans="2:6" x14ac:dyDescent="0.25">
      <c r="B78" s="7"/>
      <c r="C78" s="7"/>
      <c r="D78" s="7"/>
      <c r="E78" s="7"/>
      <c r="F78" s="7"/>
    </row>
    <row r="79" spans="2:6" x14ac:dyDescent="0.25">
      <c r="B79" s="13"/>
      <c r="C79" s="13"/>
      <c r="D79" s="13"/>
      <c r="E79" s="13"/>
      <c r="F79" s="13"/>
    </row>
    <row r="80" spans="2:6" x14ac:dyDescent="0.25">
      <c r="B80" s="13"/>
      <c r="C80" s="13"/>
      <c r="D80" s="13"/>
      <c r="E80" s="13"/>
      <c r="F80" s="13"/>
    </row>
    <row r="81" spans="2:6" x14ac:dyDescent="0.25">
      <c r="B81" s="39" t="s">
        <v>23</v>
      </c>
      <c r="C81" s="38"/>
      <c r="D81" s="13"/>
      <c r="E81" s="39" t="s">
        <v>24</v>
      </c>
      <c r="F81" s="38"/>
    </row>
    <row r="83" spans="2:6" ht="31.15" customHeight="1" x14ac:dyDescent="0.25">
      <c r="B83" s="37" t="s">
        <v>42</v>
      </c>
      <c r="C83" s="37"/>
      <c r="D83" s="37"/>
      <c r="E83" s="37"/>
      <c r="F83" s="37"/>
    </row>
    <row r="84" spans="2:6" ht="28.15" customHeight="1" x14ac:dyDescent="0.25">
      <c r="B84" s="37" t="s">
        <v>1</v>
      </c>
      <c r="C84" s="37"/>
      <c r="D84" s="37"/>
      <c r="E84" s="37"/>
      <c r="F84" s="37"/>
    </row>
    <row r="85" spans="2:6" x14ac:dyDescent="0.25">
      <c r="B85" s="14" t="s">
        <v>0</v>
      </c>
      <c r="C85" s="14"/>
      <c r="D85" s="14"/>
      <c r="E85" s="14"/>
      <c r="F85" s="14"/>
    </row>
    <row r="86" spans="2:6" ht="15" customHeight="1" x14ac:dyDescent="0.25">
      <c r="B86" s="12"/>
      <c r="C86" s="38" t="s">
        <v>25</v>
      </c>
      <c r="D86" s="38"/>
      <c r="E86" s="12">
        <v>543.5</v>
      </c>
      <c r="F86" s="12" t="s">
        <v>26</v>
      </c>
    </row>
    <row r="88" spans="2:6" ht="60" x14ac:dyDescent="0.25">
      <c r="B88" s="1" t="s">
        <v>2</v>
      </c>
      <c r="C88" s="1" t="s">
        <v>4</v>
      </c>
      <c r="D88" s="1" t="s">
        <v>3</v>
      </c>
      <c r="E88" s="1" t="s">
        <v>443</v>
      </c>
      <c r="F88" s="1" t="s">
        <v>5</v>
      </c>
    </row>
    <row r="89" spans="2:6" x14ac:dyDescent="0.25">
      <c r="B89" s="1"/>
      <c r="C89" s="1"/>
      <c r="D89" s="1"/>
      <c r="E89" s="1"/>
      <c r="F89" s="1"/>
    </row>
    <row r="90" spans="2:6" x14ac:dyDescent="0.25">
      <c r="B90" s="3" t="s">
        <v>6</v>
      </c>
      <c r="C90" s="1"/>
      <c r="D90" s="1"/>
      <c r="E90" s="1"/>
      <c r="F90" s="1"/>
    </row>
    <row r="91" spans="2:6" x14ac:dyDescent="0.25">
      <c r="B91" s="5" t="s">
        <v>7</v>
      </c>
      <c r="C91" s="1"/>
      <c r="D91" s="1"/>
      <c r="E91" s="1"/>
      <c r="F91" s="5">
        <v>2.0099999999999998</v>
      </c>
    </row>
    <row r="92" spans="2:6" x14ac:dyDescent="0.25">
      <c r="B92" s="5" t="s">
        <v>8</v>
      </c>
      <c r="C92" s="1"/>
      <c r="D92" s="1"/>
      <c r="E92" s="1"/>
      <c r="F92" s="5">
        <v>5.34</v>
      </c>
    </row>
    <row r="93" spans="2:6" ht="24.75" x14ac:dyDescent="0.25">
      <c r="B93" s="5" t="s">
        <v>11</v>
      </c>
      <c r="C93" s="1"/>
      <c r="D93" s="1"/>
      <c r="E93" s="1"/>
      <c r="F93" s="5">
        <v>0.55000000000000004</v>
      </c>
    </row>
    <row r="94" spans="2:6" ht="24.75" x14ac:dyDescent="0.25">
      <c r="B94" s="5" t="s">
        <v>12</v>
      </c>
      <c r="C94" s="1"/>
      <c r="D94" s="1"/>
      <c r="E94" s="1"/>
      <c r="F94" s="5">
        <v>0.53</v>
      </c>
    </row>
    <row r="95" spans="2:6" ht="24.75" x14ac:dyDescent="0.25">
      <c r="B95" s="5" t="s">
        <v>13</v>
      </c>
      <c r="C95" s="1"/>
      <c r="D95" s="1"/>
      <c r="E95" s="1"/>
      <c r="F95" s="5">
        <v>0.19</v>
      </c>
    </row>
    <row r="96" spans="2:6" ht="24.75" x14ac:dyDescent="0.25">
      <c r="B96" s="5" t="s">
        <v>14</v>
      </c>
      <c r="C96" s="1"/>
      <c r="D96" s="1"/>
      <c r="E96" s="1"/>
      <c r="F96" s="5">
        <v>1.25</v>
      </c>
    </row>
    <row r="97" spans="2:6" ht="24.75" x14ac:dyDescent="0.25">
      <c r="B97" s="5" t="s">
        <v>9</v>
      </c>
      <c r="C97" s="1"/>
      <c r="D97" s="1"/>
      <c r="E97" s="1"/>
      <c r="F97" s="5">
        <v>0.26</v>
      </c>
    </row>
    <row r="98" spans="2:6" ht="24.75" x14ac:dyDescent="0.25">
      <c r="B98" s="5" t="s">
        <v>15</v>
      </c>
      <c r="C98" s="1"/>
      <c r="D98" s="1"/>
      <c r="E98" s="1"/>
      <c r="F98" s="5">
        <v>0.01</v>
      </c>
    </row>
    <row r="99" spans="2:6" ht="24.75" x14ac:dyDescent="0.25">
      <c r="B99" s="5" t="s">
        <v>16</v>
      </c>
      <c r="C99" s="1"/>
      <c r="D99" s="1"/>
      <c r="E99" s="1"/>
      <c r="F99" s="5">
        <v>0.28999999999999998</v>
      </c>
    </row>
    <row r="100" spans="2:6" x14ac:dyDescent="0.25">
      <c r="B100" s="5" t="s">
        <v>17</v>
      </c>
      <c r="C100" s="1"/>
      <c r="D100" s="1"/>
      <c r="E100" s="1"/>
      <c r="F100" s="5">
        <v>0.32</v>
      </c>
    </row>
    <row r="101" spans="2:6" x14ac:dyDescent="0.25">
      <c r="B101" s="5" t="s">
        <v>18</v>
      </c>
      <c r="C101" s="1"/>
      <c r="D101" s="1"/>
      <c r="E101" s="1"/>
      <c r="F101" s="5">
        <v>1.97</v>
      </c>
    </row>
    <row r="102" spans="2:6" x14ac:dyDescent="0.25">
      <c r="B102" s="5" t="s">
        <v>19</v>
      </c>
      <c r="C102" s="1"/>
      <c r="D102" s="1"/>
      <c r="E102" s="1"/>
      <c r="F102" s="5">
        <v>3.95</v>
      </c>
    </row>
    <row r="103" spans="2:6" x14ac:dyDescent="0.25">
      <c r="B103" s="10" t="s">
        <v>20</v>
      </c>
      <c r="C103" s="1"/>
      <c r="D103" s="1"/>
      <c r="E103" s="1"/>
      <c r="F103" s="4">
        <f>SUM(F91:F102)</f>
        <v>16.669999999999998</v>
      </c>
    </row>
    <row r="104" spans="2:6" x14ac:dyDescent="0.25">
      <c r="B104" s="3" t="s">
        <v>21</v>
      </c>
      <c r="C104" s="1"/>
      <c r="D104" s="1"/>
      <c r="E104" s="1"/>
      <c r="F104" s="1"/>
    </row>
    <row r="105" spans="2:6" x14ac:dyDescent="0.25">
      <c r="B105" s="1"/>
      <c r="C105" s="1"/>
      <c r="D105" s="1"/>
      <c r="E105" s="1"/>
      <c r="F105" s="24"/>
    </row>
    <row r="106" spans="2:6" x14ac:dyDescent="0.25">
      <c r="B106" s="1" t="s">
        <v>334</v>
      </c>
      <c r="C106" s="1" t="s">
        <v>265</v>
      </c>
      <c r="D106" s="1">
        <v>1</v>
      </c>
      <c r="E106" s="1">
        <v>10</v>
      </c>
      <c r="F106" s="24">
        <f t="shared" ref="F106:F115" si="2">E106/549.7*1000/12</f>
        <v>1.5159784124674063</v>
      </c>
    </row>
    <row r="107" spans="2:6" x14ac:dyDescent="0.25">
      <c r="B107" s="1" t="s">
        <v>275</v>
      </c>
      <c r="C107" s="1" t="s">
        <v>26</v>
      </c>
      <c r="D107" s="1">
        <v>87</v>
      </c>
      <c r="E107" s="1">
        <v>130.5</v>
      </c>
      <c r="F107" s="24">
        <f t="shared" si="2"/>
        <v>19.783518282699653</v>
      </c>
    </row>
    <row r="108" spans="2:6" x14ac:dyDescent="0.25">
      <c r="B108" s="1" t="s">
        <v>329</v>
      </c>
      <c r="C108" s="1" t="s">
        <v>26</v>
      </c>
      <c r="D108" s="1">
        <v>40</v>
      </c>
      <c r="E108" s="1">
        <v>48</v>
      </c>
      <c r="F108" s="24">
        <f t="shared" si="2"/>
        <v>7.2766963798435507</v>
      </c>
    </row>
    <row r="109" spans="2:6" x14ac:dyDescent="0.25">
      <c r="B109" s="1" t="s">
        <v>330</v>
      </c>
      <c r="C109" s="1" t="s">
        <v>261</v>
      </c>
      <c r="D109" s="1">
        <v>56</v>
      </c>
      <c r="E109" s="1">
        <v>72.8</v>
      </c>
      <c r="F109" s="24">
        <f t="shared" si="2"/>
        <v>11.036322842762717</v>
      </c>
    </row>
    <row r="110" spans="2:6" x14ac:dyDescent="0.25">
      <c r="B110" s="1" t="s">
        <v>319</v>
      </c>
      <c r="C110" s="1" t="s">
        <v>261</v>
      </c>
      <c r="D110" s="1">
        <v>25</v>
      </c>
      <c r="E110" s="1">
        <v>32.5</v>
      </c>
      <c r="F110" s="24">
        <f t="shared" si="2"/>
        <v>4.9269298405190707</v>
      </c>
    </row>
    <row r="111" spans="2:6" x14ac:dyDescent="0.25">
      <c r="B111" s="1" t="s">
        <v>320</v>
      </c>
      <c r="C111" s="1" t="s">
        <v>261</v>
      </c>
      <c r="D111" s="1">
        <v>36</v>
      </c>
      <c r="E111" s="1">
        <v>68.400000000000006</v>
      </c>
      <c r="F111" s="24">
        <f t="shared" si="2"/>
        <v>10.36929234127706</v>
      </c>
    </row>
    <row r="112" spans="2:6" x14ac:dyDescent="0.25">
      <c r="B112" s="1" t="s">
        <v>325</v>
      </c>
      <c r="C112" s="1" t="s">
        <v>261</v>
      </c>
      <c r="D112" s="1">
        <v>30</v>
      </c>
      <c r="E112" s="1">
        <v>57</v>
      </c>
      <c r="F112" s="24">
        <f t="shared" si="2"/>
        <v>8.6410769510642158</v>
      </c>
    </row>
    <row r="113" spans="2:6" x14ac:dyDescent="0.25">
      <c r="B113" s="1" t="s">
        <v>339</v>
      </c>
      <c r="C113" s="1" t="s">
        <v>26</v>
      </c>
      <c r="D113" s="1">
        <v>5</v>
      </c>
      <c r="E113" s="1">
        <v>12.5</v>
      </c>
      <c r="F113" s="24">
        <f t="shared" si="2"/>
        <v>1.8949730155842579</v>
      </c>
    </row>
    <row r="114" spans="2:6" x14ac:dyDescent="0.25">
      <c r="B114" s="1" t="s">
        <v>322</v>
      </c>
      <c r="C114" s="1" t="s">
        <v>261</v>
      </c>
      <c r="D114" s="1">
        <v>120</v>
      </c>
      <c r="E114" s="1">
        <v>144</v>
      </c>
      <c r="F114" s="24">
        <f t="shared" si="2"/>
        <v>21.830089139530653</v>
      </c>
    </row>
    <row r="115" spans="2:6" x14ac:dyDescent="0.25">
      <c r="B115" s="1" t="s">
        <v>323</v>
      </c>
      <c r="C115" s="1" t="s">
        <v>261</v>
      </c>
      <c r="D115" s="1">
        <v>160</v>
      </c>
      <c r="E115" s="1">
        <v>160</v>
      </c>
      <c r="F115" s="24">
        <f t="shared" si="2"/>
        <v>24.2556545994785</v>
      </c>
    </row>
    <row r="116" spans="2:6" x14ac:dyDescent="0.25">
      <c r="B116" s="1"/>
      <c r="C116" s="1"/>
      <c r="D116" s="1"/>
      <c r="E116" s="1"/>
      <c r="F116" s="24">
        <f>SUM(F105:F115)</f>
        <v>111.53053180522708</v>
      </c>
    </row>
    <row r="117" spans="2:6" x14ac:dyDescent="0.25">
      <c r="B117" s="4" t="s">
        <v>22</v>
      </c>
      <c r="C117" s="6"/>
      <c r="D117" s="6"/>
      <c r="E117" s="6"/>
      <c r="F117" s="23">
        <f>F103+F116</f>
        <v>128.20053180522709</v>
      </c>
    </row>
    <row r="118" spans="2:6" x14ac:dyDescent="0.25">
      <c r="B118" s="7"/>
      <c r="C118" s="7"/>
      <c r="D118" s="7"/>
      <c r="E118" s="7"/>
      <c r="F118" s="7"/>
    </row>
    <row r="119" spans="2:6" x14ac:dyDescent="0.25">
      <c r="B119" s="13"/>
      <c r="C119" s="13"/>
      <c r="D119" s="13"/>
      <c r="E119" s="13"/>
      <c r="F119" s="13"/>
    </row>
    <row r="120" spans="2:6" x14ac:dyDescent="0.25">
      <c r="B120" s="13"/>
      <c r="C120" s="13"/>
      <c r="D120" s="13"/>
      <c r="E120" s="13"/>
      <c r="F120" s="13"/>
    </row>
    <row r="121" spans="2:6" ht="15" customHeight="1" x14ac:dyDescent="0.25">
      <c r="B121" s="39" t="s">
        <v>23</v>
      </c>
      <c r="C121" s="39"/>
      <c r="D121" s="13"/>
      <c r="E121" s="39" t="s">
        <v>24</v>
      </c>
      <c r="F121" s="39"/>
    </row>
    <row r="123" spans="2:6" ht="31.15" customHeight="1" x14ac:dyDescent="0.25">
      <c r="B123" s="37" t="s">
        <v>43</v>
      </c>
      <c r="C123" s="37"/>
      <c r="D123" s="37"/>
      <c r="E123" s="37"/>
      <c r="F123" s="37"/>
    </row>
    <row r="124" spans="2:6" ht="31.9" customHeight="1" x14ac:dyDescent="0.25">
      <c r="B124" s="37" t="s">
        <v>1</v>
      </c>
      <c r="C124" s="37"/>
      <c r="D124" s="37"/>
      <c r="E124" s="37"/>
      <c r="F124" s="37"/>
    </row>
    <row r="125" spans="2:6" x14ac:dyDescent="0.25">
      <c r="B125" s="14" t="s">
        <v>0</v>
      </c>
      <c r="C125" s="14"/>
      <c r="D125" s="14"/>
      <c r="E125" s="14"/>
      <c r="F125" s="14"/>
    </row>
    <row r="126" spans="2:6" ht="15" customHeight="1" x14ac:dyDescent="0.25">
      <c r="B126" s="12"/>
      <c r="C126" s="38" t="s">
        <v>25</v>
      </c>
      <c r="D126" s="38"/>
      <c r="E126" s="12">
        <v>549.70000000000005</v>
      </c>
      <c r="F126" s="12" t="s">
        <v>26</v>
      </c>
    </row>
    <row r="128" spans="2:6" ht="60" x14ac:dyDescent="0.25">
      <c r="B128" s="1" t="s">
        <v>2</v>
      </c>
      <c r="C128" s="1" t="s">
        <v>4</v>
      </c>
      <c r="D128" s="1" t="s">
        <v>3</v>
      </c>
      <c r="E128" s="1" t="s">
        <v>443</v>
      </c>
      <c r="F128" s="1" t="s">
        <v>5</v>
      </c>
    </row>
    <row r="129" spans="2:6" x14ac:dyDescent="0.25">
      <c r="B129" s="1"/>
      <c r="C129" s="1"/>
      <c r="D129" s="1"/>
      <c r="E129" s="1"/>
      <c r="F129" s="1"/>
    </row>
    <row r="130" spans="2:6" x14ac:dyDescent="0.25">
      <c r="B130" s="3" t="s">
        <v>6</v>
      </c>
      <c r="C130" s="1"/>
      <c r="D130" s="1"/>
      <c r="E130" s="1"/>
      <c r="F130" s="1"/>
    </row>
    <row r="131" spans="2:6" x14ac:dyDescent="0.25">
      <c r="B131" s="5" t="s">
        <v>7</v>
      </c>
      <c r="C131" s="1"/>
      <c r="D131" s="1"/>
      <c r="E131" s="1"/>
      <c r="F131" s="5">
        <v>2.0099999999999998</v>
      </c>
    </row>
    <row r="132" spans="2:6" x14ac:dyDescent="0.25">
      <c r="B132" s="5" t="s">
        <v>8</v>
      </c>
      <c r="C132" s="1"/>
      <c r="D132" s="1"/>
      <c r="E132" s="1"/>
      <c r="F132" s="5">
        <v>5.34</v>
      </c>
    </row>
    <row r="133" spans="2:6" ht="24.75" x14ac:dyDescent="0.25">
      <c r="B133" s="5" t="s">
        <v>11</v>
      </c>
      <c r="C133" s="1"/>
      <c r="D133" s="1"/>
      <c r="E133" s="1"/>
      <c r="F133" s="5">
        <v>0.55000000000000004</v>
      </c>
    </row>
    <row r="134" spans="2:6" ht="24.75" x14ac:dyDescent="0.25">
      <c r="B134" s="5" t="s">
        <v>12</v>
      </c>
      <c r="C134" s="1"/>
      <c r="D134" s="1"/>
      <c r="E134" s="1"/>
      <c r="F134" s="5">
        <v>0.53</v>
      </c>
    </row>
    <row r="135" spans="2:6" ht="24.75" x14ac:dyDescent="0.25">
      <c r="B135" s="5" t="s">
        <v>13</v>
      </c>
      <c r="C135" s="1"/>
      <c r="D135" s="1"/>
      <c r="E135" s="1"/>
      <c r="F135" s="5">
        <v>0.19</v>
      </c>
    </row>
    <row r="136" spans="2:6" ht="24.75" x14ac:dyDescent="0.25">
      <c r="B136" s="5" t="s">
        <v>14</v>
      </c>
      <c r="C136" s="1"/>
      <c r="D136" s="1"/>
      <c r="E136" s="1"/>
      <c r="F136" s="5">
        <v>1.25</v>
      </c>
    </row>
    <row r="137" spans="2:6" ht="24.75" x14ac:dyDescent="0.25">
      <c r="B137" s="5" t="s">
        <v>9</v>
      </c>
      <c r="C137" s="1"/>
      <c r="D137" s="1"/>
      <c r="E137" s="1"/>
      <c r="F137" s="5">
        <v>0.26</v>
      </c>
    </row>
    <row r="138" spans="2:6" ht="24.75" x14ac:dyDescent="0.25">
      <c r="B138" s="5" t="s">
        <v>15</v>
      </c>
      <c r="C138" s="1"/>
      <c r="D138" s="1"/>
      <c r="E138" s="1"/>
      <c r="F138" s="5">
        <v>0.01</v>
      </c>
    </row>
    <row r="139" spans="2:6" ht="24.75" x14ac:dyDescent="0.25">
      <c r="B139" s="5" t="s">
        <v>16</v>
      </c>
      <c r="C139" s="1"/>
      <c r="D139" s="1"/>
      <c r="E139" s="1"/>
      <c r="F139" s="5">
        <v>0.28999999999999998</v>
      </c>
    </row>
    <row r="140" spans="2:6" x14ac:dyDescent="0.25">
      <c r="B140" s="5" t="s">
        <v>17</v>
      </c>
      <c r="C140" s="1"/>
      <c r="D140" s="1"/>
      <c r="E140" s="1"/>
      <c r="F140" s="5">
        <v>0.32</v>
      </c>
    </row>
    <row r="141" spans="2:6" x14ac:dyDescent="0.25">
      <c r="B141" s="5" t="s">
        <v>18</v>
      </c>
      <c r="C141" s="1"/>
      <c r="D141" s="1"/>
      <c r="E141" s="1"/>
      <c r="F141" s="5">
        <v>1.97</v>
      </c>
    </row>
    <row r="142" spans="2:6" x14ac:dyDescent="0.25">
      <c r="B142" s="5" t="s">
        <v>19</v>
      </c>
      <c r="C142" s="1"/>
      <c r="D142" s="1"/>
      <c r="E142" s="1"/>
      <c r="F142" s="5">
        <v>3.95</v>
      </c>
    </row>
    <row r="143" spans="2:6" x14ac:dyDescent="0.25">
      <c r="B143" s="10" t="s">
        <v>20</v>
      </c>
      <c r="C143" s="1"/>
      <c r="D143" s="1"/>
      <c r="E143" s="1"/>
      <c r="F143" s="4">
        <f>SUM(F131:F142)</f>
        <v>16.669999999999998</v>
      </c>
    </row>
    <row r="144" spans="2:6" x14ac:dyDescent="0.25">
      <c r="B144" s="3" t="s">
        <v>21</v>
      </c>
      <c r="C144" s="1"/>
      <c r="D144" s="1"/>
      <c r="E144" s="1"/>
      <c r="F144" s="1"/>
    </row>
    <row r="145" spans="2:6" x14ac:dyDescent="0.25">
      <c r="B145" s="1" t="s">
        <v>357</v>
      </c>
      <c r="C145" s="1" t="s">
        <v>256</v>
      </c>
      <c r="D145" s="1">
        <v>1</v>
      </c>
      <c r="E145" s="1">
        <v>45</v>
      </c>
      <c r="F145" s="24">
        <f>E145/549.7*1000/12</f>
        <v>6.8219028561033284</v>
      </c>
    </row>
    <row r="146" spans="2:6" x14ac:dyDescent="0.25">
      <c r="B146" s="1" t="s">
        <v>334</v>
      </c>
      <c r="C146" s="1" t="s">
        <v>265</v>
      </c>
      <c r="D146" s="1">
        <v>1</v>
      </c>
      <c r="E146" s="1">
        <v>10</v>
      </c>
      <c r="F146" s="24">
        <f t="shared" ref="F146:F157" si="3">E146/549.7*1000/12</f>
        <v>1.5159784124674063</v>
      </c>
    </row>
    <row r="147" spans="2:6" x14ac:dyDescent="0.25">
      <c r="B147" s="1" t="s">
        <v>275</v>
      </c>
      <c r="C147" s="1" t="s">
        <v>26</v>
      </c>
      <c r="D147" s="1">
        <v>100</v>
      </c>
      <c r="E147" s="1">
        <v>150</v>
      </c>
      <c r="F147" s="24">
        <f t="shared" si="3"/>
        <v>22.739676187011096</v>
      </c>
    </row>
    <row r="148" spans="2:6" x14ac:dyDescent="0.25">
      <c r="B148" s="1" t="s">
        <v>329</v>
      </c>
      <c r="C148" s="1" t="s">
        <v>26</v>
      </c>
      <c r="D148" s="1">
        <v>15</v>
      </c>
      <c r="E148" s="1">
        <v>18</v>
      </c>
      <c r="F148" s="24">
        <f t="shared" si="3"/>
        <v>2.7287611424413316</v>
      </c>
    </row>
    <row r="149" spans="2:6" x14ac:dyDescent="0.25">
      <c r="B149" s="1" t="s">
        <v>330</v>
      </c>
      <c r="C149" s="1" t="s">
        <v>261</v>
      </c>
      <c r="D149" s="1">
        <v>56</v>
      </c>
      <c r="E149" s="1">
        <v>72.8</v>
      </c>
      <c r="F149" s="24">
        <f t="shared" si="3"/>
        <v>11.036322842762717</v>
      </c>
    </row>
    <row r="150" spans="2:6" x14ac:dyDescent="0.25">
      <c r="B150" s="1" t="s">
        <v>319</v>
      </c>
      <c r="C150" s="1" t="s">
        <v>261</v>
      </c>
      <c r="D150" s="1">
        <v>15</v>
      </c>
      <c r="E150" s="1">
        <v>19.5</v>
      </c>
      <c r="F150" s="24">
        <f t="shared" si="3"/>
        <v>2.9561579043114428</v>
      </c>
    </row>
    <row r="151" spans="2:6" x14ac:dyDescent="0.25">
      <c r="B151" s="1" t="s">
        <v>320</v>
      </c>
      <c r="C151" s="1" t="s">
        <v>26</v>
      </c>
      <c r="D151" s="1">
        <v>36</v>
      </c>
      <c r="E151" s="1">
        <v>68.400000000000006</v>
      </c>
      <c r="F151" s="24">
        <f t="shared" si="3"/>
        <v>10.36929234127706</v>
      </c>
    </row>
    <row r="152" spans="2:6" x14ac:dyDescent="0.25">
      <c r="B152" s="1" t="s">
        <v>325</v>
      </c>
      <c r="C152" s="1" t="s">
        <v>261</v>
      </c>
      <c r="D152" s="1">
        <v>30</v>
      </c>
      <c r="E152" s="1">
        <v>57</v>
      </c>
      <c r="F152" s="24">
        <f t="shared" si="3"/>
        <v>8.6410769510642158</v>
      </c>
    </row>
    <row r="153" spans="2:6" x14ac:dyDescent="0.25">
      <c r="B153" s="1" t="s">
        <v>339</v>
      </c>
      <c r="C153" s="1" t="s">
        <v>26</v>
      </c>
      <c r="D153" s="1">
        <v>5</v>
      </c>
      <c r="E153" s="1">
        <v>12.5</v>
      </c>
      <c r="F153" s="24">
        <f t="shared" si="3"/>
        <v>1.8949730155842579</v>
      </c>
    </row>
    <row r="154" spans="2:6" x14ac:dyDescent="0.25">
      <c r="B154" s="1" t="s">
        <v>322</v>
      </c>
      <c r="C154" s="1" t="s">
        <v>261</v>
      </c>
      <c r="D154" s="1">
        <v>120</v>
      </c>
      <c r="E154" s="1">
        <v>144</v>
      </c>
      <c r="F154" s="24">
        <f t="shared" si="3"/>
        <v>21.830089139530653</v>
      </c>
    </row>
    <row r="155" spans="2:6" x14ac:dyDescent="0.25">
      <c r="B155" s="1" t="s">
        <v>323</v>
      </c>
      <c r="C155" s="1" t="s">
        <v>261</v>
      </c>
      <c r="D155" s="1">
        <v>160</v>
      </c>
      <c r="E155" s="1">
        <v>160</v>
      </c>
      <c r="F155" s="24">
        <f t="shared" si="3"/>
        <v>24.2556545994785</v>
      </c>
    </row>
    <row r="156" spans="2:6" x14ac:dyDescent="0.25">
      <c r="B156" s="1"/>
      <c r="C156" s="1"/>
      <c r="D156" s="1"/>
      <c r="E156" s="1"/>
      <c r="F156" s="24">
        <f t="shared" si="3"/>
        <v>0</v>
      </c>
    </row>
    <row r="157" spans="2:6" x14ac:dyDescent="0.25">
      <c r="B157" s="1"/>
      <c r="C157" s="1"/>
      <c r="D157" s="1"/>
      <c r="E157" s="1"/>
      <c r="F157" s="24">
        <f t="shared" si="3"/>
        <v>0</v>
      </c>
    </row>
    <row r="158" spans="2:6" x14ac:dyDescent="0.25">
      <c r="B158" s="10" t="s">
        <v>20</v>
      </c>
      <c r="C158" s="1"/>
      <c r="D158" s="1"/>
      <c r="E158" s="4">
        <f>SUM(E145:E157)</f>
        <v>757.2</v>
      </c>
      <c r="F158" s="22">
        <f>SUM(F145:F157)</f>
        <v>114.78988539203202</v>
      </c>
    </row>
    <row r="159" spans="2:6" x14ac:dyDescent="0.25">
      <c r="B159" s="4" t="s">
        <v>22</v>
      </c>
      <c r="C159" s="6"/>
      <c r="D159" s="6"/>
      <c r="E159" s="6"/>
      <c r="F159" s="23">
        <f>F143+F158</f>
        <v>131.45988539203202</v>
      </c>
    </row>
    <row r="160" spans="2:6" x14ac:dyDescent="0.25">
      <c r="B160" s="7"/>
      <c r="C160" s="7"/>
      <c r="D160" s="7"/>
      <c r="E160" s="7"/>
      <c r="F160" s="7"/>
    </row>
    <row r="161" spans="2:6" x14ac:dyDescent="0.25">
      <c r="B161" s="13"/>
      <c r="C161" s="13"/>
      <c r="D161" s="13"/>
      <c r="E161" s="13"/>
      <c r="F161" s="13"/>
    </row>
    <row r="162" spans="2:6" x14ac:dyDescent="0.25">
      <c r="B162" s="13"/>
      <c r="C162" s="13"/>
      <c r="D162" s="13"/>
      <c r="E162" s="13"/>
      <c r="F162" s="13"/>
    </row>
    <row r="163" spans="2:6" x14ac:dyDescent="0.25">
      <c r="B163" s="39" t="s">
        <v>23</v>
      </c>
      <c r="C163" s="38"/>
      <c r="D163" s="13"/>
      <c r="E163" s="39" t="s">
        <v>24</v>
      </c>
      <c r="F163" s="38"/>
    </row>
    <row r="165" spans="2:6" ht="43.15" customHeight="1" x14ac:dyDescent="0.25">
      <c r="B165" s="40" t="s">
        <v>44</v>
      </c>
      <c r="C165" s="40"/>
      <c r="D165" s="40"/>
      <c r="E165" s="40"/>
      <c r="F165" s="40"/>
    </row>
    <row r="166" spans="2:6" ht="31.9" customHeight="1" x14ac:dyDescent="0.25">
      <c r="B166" s="37" t="s">
        <v>1</v>
      </c>
      <c r="C166" s="37"/>
      <c r="D166" s="37"/>
      <c r="E166" s="37"/>
      <c r="F166" s="37"/>
    </row>
    <row r="167" spans="2:6" x14ac:dyDescent="0.25">
      <c r="B167" s="14" t="s">
        <v>0</v>
      </c>
      <c r="C167" s="14"/>
      <c r="D167" s="14"/>
      <c r="E167" s="14"/>
      <c r="F167" s="14"/>
    </row>
    <row r="168" spans="2:6" x14ac:dyDescent="0.25">
      <c r="B168" s="12"/>
      <c r="C168" s="38" t="s">
        <v>25</v>
      </c>
      <c r="D168" s="38"/>
      <c r="E168" s="12">
        <v>561.20000000000005</v>
      </c>
      <c r="F168" s="12" t="s">
        <v>26</v>
      </c>
    </row>
    <row r="170" spans="2:6" ht="60" x14ac:dyDescent="0.25">
      <c r="B170" s="1" t="s">
        <v>2</v>
      </c>
      <c r="C170" s="1" t="s">
        <v>4</v>
      </c>
      <c r="D170" s="1" t="s">
        <v>3</v>
      </c>
      <c r="E170" s="1" t="s">
        <v>443</v>
      </c>
      <c r="F170" s="1" t="s">
        <v>5</v>
      </c>
    </row>
    <row r="171" spans="2:6" x14ac:dyDescent="0.25">
      <c r="B171" s="1"/>
      <c r="C171" s="1"/>
      <c r="D171" s="1"/>
      <c r="E171" s="1"/>
      <c r="F171" s="1"/>
    </row>
    <row r="172" spans="2:6" x14ac:dyDescent="0.25">
      <c r="B172" s="3" t="s">
        <v>6</v>
      </c>
      <c r="C172" s="1"/>
      <c r="D172" s="1"/>
      <c r="E172" s="1"/>
      <c r="F172" s="1"/>
    </row>
    <row r="173" spans="2:6" x14ac:dyDescent="0.25">
      <c r="B173" s="5" t="s">
        <v>7</v>
      </c>
      <c r="C173" s="1"/>
      <c r="D173" s="1"/>
      <c r="E173" s="1"/>
      <c r="F173" s="5">
        <v>2.0099999999999998</v>
      </c>
    </row>
    <row r="174" spans="2:6" x14ac:dyDescent="0.25">
      <c r="B174" s="5" t="s">
        <v>8</v>
      </c>
      <c r="C174" s="1"/>
      <c r="D174" s="1"/>
      <c r="E174" s="1"/>
      <c r="F174" s="5">
        <v>5.34</v>
      </c>
    </row>
    <row r="175" spans="2:6" ht="24.75" x14ac:dyDescent="0.25">
      <c r="B175" s="5" t="s">
        <v>11</v>
      </c>
      <c r="C175" s="1"/>
      <c r="D175" s="1"/>
      <c r="E175" s="1"/>
      <c r="F175" s="5">
        <v>0.55000000000000004</v>
      </c>
    </row>
    <row r="176" spans="2:6" ht="24.75" x14ac:dyDescent="0.25">
      <c r="B176" s="5" t="s">
        <v>12</v>
      </c>
      <c r="C176" s="1"/>
      <c r="D176" s="1"/>
      <c r="E176" s="1"/>
      <c r="F176" s="5">
        <v>0.53</v>
      </c>
    </row>
    <row r="177" spans="2:6" ht="24.75" x14ac:dyDescent="0.25">
      <c r="B177" s="5" t="s">
        <v>13</v>
      </c>
      <c r="C177" s="1"/>
      <c r="D177" s="1"/>
      <c r="E177" s="1"/>
      <c r="F177" s="5">
        <v>0.19</v>
      </c>
    </row>
    <row r="178" spans="2:6" ht="24.75" x14ac:dyDescent="0.25">
      <c r="B178" s="5" t="s">
        <v>9</v>
      </c>
      <c r="C178" s="1"/>
      <c r="D178" s="1"/>
      <c r="E178" s="1"/>
      <c r="F178" s="5">
        <v>0.26</v>
      </c>
    </row>
    <row r="179" spans="2:6" ht="24.75" x14ac:dyDescent="0.25">
      <c r="B179" s="5" t="s">
        <v>15</v>
      </c>
      <c r="C179" s="1"/>
      <c r="D179" s="1"/>
      <c r="E179" s="1"/>
      <c r="F179" s="5">
        <v>0.27</v>
      </c>
    </row>
    <row r="180" spans="2:6" ht="24.75" x14ac:dyDescent="0.25">
      <c r="B180" s="5" t="s">
        <v>16</v>
      </c>
      <c r="C180" s="1"/>
      <c r="D180" s="1"/>
      <c r="E180" s="1"/>
      <c r="F180" s="5">
        <v>0.28999999999999998</v>
      </c>
    </row>
    <row r="181" spans="2:6" x14ac:dyDescent="0.25">
      <c r="B181" s="5" t="s">
        <v>17</v>
      </c>
      <c r="C181" s="1"/>
      <c r="D181" s="1"/>
      <c r="E181" s="1"/>
      <c r="F181" s="5">
        <v>0.32</v>
      </c>
    </row>
    <row r="182" spans="2:6" x14ac:dyDescent="0.25">
      <c r="B182" s="5" t="s">
        <v>18</v>
      </c>
      <c r="C182" s="1"/>
      <c r="D182" s="1"/>
      <c r="E182" s="1"/>
      <c r="F182" s="5">
        <v>1.97</v>
      </c>
    </row>
    <row r="183" spans="2:6" x14ac:dyDescent="0.25">
      <c r="B183" s="5" t="s">
        <v>19</v>
      </c>
      <c r="C183" s="1"/>
      <c r="D183" s="1"/>
      <c r="E183" s="1"/>
      <c r="F183" s="5">
        <v>3.95</v>
      </c>
    </row>
    <row r="184" spans="2:6" x14ac:dyDescent="0.25">
      <c r="B184" s="10" t="s">
        <v>20</v>
      </c>
      <c r="C184" s="1"/>
      <c r="D184" s="1"/>
      <c r="E184" s="1"/>
      <c r="F184" s="4">
        <f>SUM(F173:F183)</f>
        <v>15.68</v>
      </c>
    </row>
    <row r="185" spans="2:6" x14ac:dyDescent="0.25">
      <c r="B185" s="3" t="s">
        <v>21</v>
      </c>
      <c r="C185" s="1"/>
      <c r="D185" s="1"/>
      <c r="E185" s="1"/>
      <c r="F185" s="1"/>
    </row>
    <row r="186" spans="2:6" x14ac:dyDescent="0.25">
      <c r="B186" s="1" t="s">
        <v>361</v>
      </c>
      <c r="C186" s="1" t="s">
        <v>265</v>
      </c>
      <c r="D186" s="1">
        <v>2</v>
      </c>
      <c r="E186" s="1">
        <v>20</v>
      </c>
      <c r="F186" s="24">
        <f>E186/549.7*1000/12</f>
        <v>3.0319568249348126</v>
      </c>
    </row>
    <row r="187" spans="2:6" x14ac:dyDescent="0.25">
      <c r="B187" s="1" t="s">
        <v>334</v>
      </c>
      <c r="C187" s="1" t="s">
        <v>265</v>
      </c>
      <c r="D187" s="1">
        <v>1</v>
      </c>
      <c r="E187" s="1">
        <v>10</v>
      </c>
      <c r="F187" s="24">
        <f t="shared" ref="F187:F198" si="4">E187/549.7*1000/12</f>
        <v>1.5159784124674063</v>
      </c>
    </row>
    <row r="188" spans="2:6" x14ac:dyDescent="0.25">
      <c r="B188" s="1" t="s">
        <v>275</v>
      </c>
      <c r="C188" s="1" t="s">
        <v>26</v>
      </c>
      <c r="D188" s="1">
        <v>90</v>
      </c>
      <c r="E188" s="1">
        <v>135</v>
      </c>
      <c r="F188" s="24">
        <f t="shared" si="4"/>
        <v>20.465708568309985</v>
      </c>
    </row>
    <row r="189" spans="2:6" x14ac:dyDescent="0.25">
      <c r="B189" s="1" t="s">
        <v>329</v>
      </c>
      <c r="C189" s="1" t="s">
        <v>26</v>
      </c>
      <c r="D189" s="1">
        <v>12</v>
      </c>
      <c r="E189" s="1">
        <v>14.4</v>
      </c>
      <c r="F189" s="24">
        <f t="shared" si="4"/>
        <v>2.1830089139530653</v>
      </c>
    </row>
    <row r="190" spans="2:6" x14ac:dyDescent="0.25">
      <c r="B190" s="1" t="s">
        <v>330</v>
      </c>
      <c r="C190" s="1" t="s">
        <v>261</v>
      </c>
      <c r="D190" s="1">
        <v>56</v>
      </c>
      <c r="E190" s="1">
        <v>72.8</v>
      </c>
      <c r="F190" s="24">
        <f t="shared" si="4"/>
        <v>11.036322842762717</v>
      </c>
    </row>
    <row r="191" spans="2:6" x14ac:dyDescent="0.25">
      <c r="B191" s="1" t="s">
        <v>319</v>
      </c>
      <c r="C191" s="1" t="s">
        <v>261</v>
      </c>
      <c r="D191" s="1">
        <v>25</v>
      </c>
      <c r="E191" s="1">
        <v>32.5</v>
      </c>
      <c r="F191" s="24">
        <f t="shared" si="4"/>
        <v>4.9269298405190707</v>
      </c>
    </row>
    <row r="192" spans="2:6" x14ac:dyDescent="0.25">
      <c r="B192" s="1" t="s">
        <v>342</v>
      </c>
      <c r="C192" s="1" t="s">
        <v>26</v>
      </c>
      <c r="D192" s="1">
        <v>2</v>
      </c>
      <c r="E192" s="1">
        <v>5</v>
      </c>
      <c r="F192" s="24">
        <f t="shared" si="4"/>
        <v>0.75798920623370314</v>
      </c>
    </row>
    <row r="193" spans="2:6" x14ac:dyDescent="0.25">
      <c r="B193" s="1" t="s">
        <v>320</v>
      </c>
      <c r="C193" s="1" t="s">
        <v>261</v>
      </c>
      <c r="D193" s="1">
        <v>36</v>
      </c>
      <c r="E193" s="1">
        <v>68.400000000000006</v>
      </c>
      <c r="F193" s="24">
        <f t="shared" si="4"/>
        <v>10.36929234127706</v>
      </c>
    </row>
    <row r="194" spans="2:6" x14ac:dyDescent="0.25">
      <c r="B194" s="1" t="s">
        <v>325</v>
      </c>
      <c r="C194" s="1" t="s">
        <v>261</v>
      </c>
      <c r="D194" s="1">
        <v>30</v>
      </c>
      <c r="E194" s="1">
        <v>57</v>
      </c>
      <c r="F194" s="24">
        <f t="shared" si="4"/>
        <v>8.6410769510642158</v>
      </c>
    </row>
    <row r="195" spans="2:6" x14ac:dyDescent="0.25">
      <c r="B195" s="1" t="s">
        <v>339</v>
      </c>
      <c r="C195" s="1" t="s">
        <v>26</v>
      </c>
      <c r="D195" s="1">
        <v>5</v>
      </c>
      <c r="E195" s="1">
        <v>12.5</v>
      </c>
      <c r="F195" s="24">
        <f t="shared" si="4"/>
        <v>1.8949730155842579</v>
      </c>
    </row>
    <row r="196" spans="2:6" x14ac:dyDescent="0.25">
      <c r="B196" s="1" t="s">
        <v>322</v>
      </c>
      <c r="C196" s="1" t="s">
        <v>261</v>
      </c>
      <c r="D196" s="1">
        <v>120</v>
      </c>
      <c r="E196" s="1">
        <v>144</v>
      </c>
      <c r="F196" s="24">
        <f t="shared" si="4"/>
        <v>21.830089139530653</v>
      </c>
    </row>
    <row r="197" spans="2:6" x14ac:dyDescent="0.25">
      <c r="B197" s="1" t="s">
        <v>323</v>
      </c>
      <c r="C197" s="1" t="s">
        <v>261</v>
      </c>
      <c r="D197" s="1">
        <v>160</v>
      </c>
      <c r="E197" s="1">
        <v>160</v>
      </c>
      <c r="F197" s="24">
        <f t="shared" si="4"/>
        <v>24.2556545994785</v>
      </c>
    </row>
    <row r="198" spans="2:6" x14ac:dyDescent="0.25">
      <c r="B198" s="1"/>
      <c r="C198" s="1"/>
      <c r="D198" s="1"/>
      <c r="E198" s="1"/>
      <c r="F198" s="24">
        <f t="shared" si="4"/>
        <v>0</v>
      </c>
    </row>
    <row r="199" spans="2:6" x14ac:dyDescent="0.25">
      <c r="B199" s="10" t="s">
        <v>20</v>
      </c>
      <c r="C199" s="1"/>
      <c r="D199" s="1"/>
      <c r="E199" s="4">
        <f>SUM(E186:E198)</f>
        <v>731.6</v>
      </c>
      <c r="F199" s="22">
        <f>SUM(F186:F198)</f>
        <v>110.90898065611545</v>
      </c>
    </row>
    <row r="200" spans="2:6" x14ac:dyDescent="0.25">
      <c r="B200" s="4" t="s">
        <v>22</v>
      </c>
      <c r="C200" s="6"/>
      <c r="D200" s="6"/>
      <c r="E200" s="6"/>
      <c r="F200" s="23">
        <f>F184+F199</f>
        <v>126.58898065611544</v>
      </c>
    </row>
    <row r="201" spans="2:6" x14ac:dyDescent="0.25">
      <c r="B201" s="7"/>
      <c r="C201" s="7"/>
      <c r="D201" s="7"/>
      <c r="E201" s="7"/>
      <c r="F201" s="7"/>
    </row>
    <row r="202" spans="2:6" x14ac:dyDescent="0.25">
      <c r="B202" s="13"/>
      <c r="C202" s="13"/>
      <c r="D202" s="13"/>
      <c r="E202" s="13"/>
      <c r="F202" s="13"/>
    </row>
    <row r="203" spans="2:6" x14ac:dyDescent="0.25">
      <c r="B203" s="13"/>
      <c r="C203" s="13"/>
      <c r="D203" s="13"/>
      <c r="E203" s="13"/>
      <c r="F203" s="13"/>
    </row>
    <row r="204" spans="2:6" x14ac:dyDescent="0.25">
      <c r="B204" s="39" t="s">
        <v>23</v>
      </c>
      <c r="C204" s="38"/>
      <c r="D204" s="13"/>
      <c r="E204" s="39" t="s">
        <v>24</v>
      </c>
      <c r="F204" s="38"/>
    </row>
    <row r="206" spans="2:6" ht="31.9" customHeight="1" x14ac:dyDescent="0.25">
      <c r="B206" s="37" t="s">
        <v>45</v>
      </c>
      <c r="C206" s="37"/>
      <c r="D206" s="37"/>
      <c r="E206" s="37"/>
      <c r="F206" s="37"/>
    </row>
    <row r="207" spans="2:6" ht="28.9" customHeight="1" x14ac:dyDescent="0.25">
      <c r="B207" s="37" t="s">
        <v>1</v>
      </c>
      <c r="C207" s="37"/>
      <c r="D207" s="37"/>
      <c r="E207" s="37"/>
      <c r="F207" s="37"/>
    </row>
    <row r="208" spans="2:6" x14ac:dyDescent="0.25">
      <c r="B208" s="14" t="s">
        <v>0</v>
      </c>
      <c r="C208" s="14"/>
      <c r="D208" s="14"/>
      <c r="E208" s="14"/>
      <c r="F208" s="14"/>
    </row>
    <row r="209" spans="2:6" x14ac:dyDescent="0.25">
      <c r="B209" s="12"/>
      <c r="C209" s="38" t="s">
        <v>25</v>
      </c>
      <c r="D209" s="38"/>
      <c r="E209" s="12">
        <v>582.1</v>
      </c>
      <c r="F209" s="12" t="s">
        <v>26</v>
      </c>
    </row>
    <row r="211" spans="2:6" ht="60" x14ac:dyDescent="0.25">
      <c r="B211" s="1" t="s">
        <v>2</v>
      </c>
      <c r="C211" s="1" t="s">
        <v>4</v>
      </c>
      <c r="D211" s="1" t="s">
        <v>3</v>
      </c>
      <c r="E211" s="1" t="s">
        <v>443</v>
      </c>
      <c r="F211" s="1" t="s">
        <v>5</v>
      </c>
    </row>
    <row r="212" spans="2:6" x14ac:dyDescent="0.25">
      <c r="B212" s="1"/>
      <c r="C212" s="1"/>
      <c r="D212" s="1"/>
      <c r="E212" s="1"/>
      <c r="F212" s="1"/>
    </row>
    <row r="213" spans="2:6" x14ac:dyDescent="0.25">
      <c r="B213" s="3" t="s">
        <v>6</v>
      </c>
      <c r="C213" s="1"/>
      <c r="D213" s="1"/>
      <c r="E213" s="1"/>
      <c r="F213" s="1"/>
    </row>
    <row r="214" spans="2:6" x14ac:dyDescent="0.25">
      <c r="B214" s="5" t="s">
        <v>7</v>
      </c>
      <c r="C214" s="1"/>
      <c r="D214" s="1"/>
      <c r="E214" s="1"/>
      <c r="F214" s="5">
        <v>2.0099999999999998</v>
      </c>
    </row>
    <row r="215" spans="2:6" x14ac:dyDescent="0.25">
      <c r="B215" s="5" t="s">
        <v>8</v>
      </c>
      <c r="C215" s="1"/>
      <c r="D215" s="1"/>
      <c r="E215" s="1"/>
      <c r="F215" s="5">
        <v>5.34</v>
      </c>
    </row>
    <row r="216" spans="2:6" ht="24.75" x14ac:dyDescent="0.25">
      <c r="B216" s="5" t="s">
        <v>11</v>
      </c>
      <c r="C216" s="1"/>
      <c r="D216" s="1"/>
      <c r="E216" s="1"/>
      <c r="F216" s="5">
        <v>0.55000000000000004</v>
      </c>
    </row>
    <row r="217" spans="2:6" ht="24.75" x14ac:dyDescent="0.25">
      <c r="B217" s="5" t="s">
        <v>12</v>
      </c>
      <c r="C217" s="1"/>
      <c r="D217" s="1"/>
      <c r="E217" s="1"/>
      <c r="F217" s="5">
        <v>0.53</v>
      </c>
    </row>
    <row r="218" spans="2:6" ht="24.75" x14ac:dyDescent="0.25">
      <c r="B218" s="5" t="s">
        <v>13</v>
      </c>
      <c r="C218" s="1"/>
      <c r="D218" s="1"/>
      <c r="E218" s="1"/>
      <c r="F218" s="5">
        <v>0.19</v>
      </c>
    </row>
    <row r="219" spans="2:6" ht="24.75" x14ac:dyDescent="0.25">
      <c r="B219" s="5" t="s">
        <v>9</v>
      </c>
      <c r="C219" s="1"/>
      <c r="D219" s="1"/>
      <c r="E219" s="1"/>
      <c r="F219" s="5">
        <v>0.26</v>
      </c>
    </row>
    <row r="220" spans="2:6" ht="24.75" x14ac:dyDescent="0.25">
      <c r="B220" s="5" t="s">
        <v>15</v>
      </c>
      <c r="C220" s="1"/>
      <c r="D220" s="1"/>
      <c r="E220" s="1"/>
      <c r="F220" s="5">
        <v>0.27</v>
      </c>
    </row>
    <row r="221" spans="2:6" ht="24.75" x14ac:dyDescent="0.25">
      <c r="B221" s="5" t="s">
        <v>16</v>
      </c>
      <c r="C221" s="1"/>
      <c r="D221" s="1"/>
      <c r="E221" s="1"/>
      <c r="F221" s="5">
        <v>0.28999999999999998</v>
      </c>
    </row>
    <row r="222" spans="2:6" x14ac:dyDescent="0.25">
      <c r="B222" s="5" t="s">
        <v>17</v>
      </c>
      <c r="C222" s="1"/>
      <c r="D222" s="1"/>
      <c r="E222" s="1"/>
      <c r="F222" s="5">
        <v>0.32</v>
      </c>
    </row>
    <row r="223" spans="2:6" x14ac:dyDescent="0.25">
      <c r="B223" s="5" t="s">
        <v>18</v>
      </c>
      <c r="C223" s="1"/>
      <c r="D223" s="1"/>
      <c r="E223" s="1"/>
      <c r="F223" s="5">
        <v>1.97</v>
      </c>
    </row>
    <row r="224" spans="2:6" x14ac:dyDescent="0.25">
      <c r="B224" s="5" t="s">
        <v>19</v>
      </c>
      <c r="C224" s="1"/>
      <c r="D224" s="1"/>
      <c r="E224" s="1"/>
      <c r="F224" s="5">
        <v>3.95</v>
      </c>
    </row>
    <row r="225" spans="2:6" x14ac:dyDescent="0.25">
      <c r="B225" s="10" t="s">
        <v>20</v>
      </c>
      <c r="C225" s="1"/>
      <c r="D225" s="1"/>
      <c r="E225" s="1"/>
      <c r="F225" s="4">
        <f>SUM(F214:F224)</f>
        <v>15.68</v>
      </c>
    </row>
    <row r="226" spans="2:6" x14ac:dyDescent="0.25">
      <c r="B226" s="3" t="s">
        <v>21</v>
      </c>
      <c r="C226" s="1"/>
      <c r="D226" s="1"/>
      <c r="E226" s="1"/>
      <c r="F226" s="1"/>
    </row>
    <row r="227" spans="2:6" x14ac:dyDescent="0.25">
      <c r="B227" s="1" t="s">
        <v>357</v>
      </c>
      <c r="C227" s="1" t="s">
        <v>256</v>
      </c>
      <c r="D227" s="1">
        <v>1</v>
      </c>
      <c r="E227" s="1">
        <v>45</v>
      </c>
      <c r="F227" s="24">
        <f>E227/582.1*1000/12</f>
        <v>6.4421920632193777</v>
      </c>
    </row>
    <row r="228" spans="2:6" x14ac:dyDescent="0.25">
      <c r="B228" s="1" t="s">
        <v>327</v>
      </c>
      <c r="C228" s="1" t="s">
        <v>261</v>
      </c>
      <c r="D228" s="1">
        <v>30</v>
      </c>
      <c r="E228" s="1">
        <v>30</v>
      </c>
      <c r="F228" s="24">
        <f t="shared" ref="F228:F239" si="5">E228/582.1*1000/12</f>
        <v>4.2947947088129181</v>
      </c>
    </row>
    <row r="229" spans="2:6" x14ac:dyDescent="0.25">
      <c r="B229" s="1" t="s">
        <v>275</v>
      </c>
      <c r="C229" s="1" t="s">
        <v>26</v>
      </c>
      <c r="D229" s="1">
        <v>88</v>
      </c>
      <c r="E229" s="1">
        <v>132</v>
      </c>
      <c r="F229" s="24">
        <f t="shared" si="5"/>
        <v>18.89709671877684</v>
      </c>
    </row>
    <row r="230" spans="2:6" x14ac:dyDescent="0.25">
      <c r="B230" s="1" t="s">
        <v>335</v>
      </c>
      <c r="C230" s="1" t="s">
        <v>26</v>
      </c>
      <c r="D230" s="1">
        <v>10</v>
      </c>
      <c r="E230" s="1">
        <v>6</v>
      </c>
      <c r="F230" s="24">
        <f t="shared" si="5"/>
        <v>0.85895894176258369</v>
      </c>
    </row>
    <row r="231" spans="2:6" x14ac:dyDescent="0.25">
      <c r="B231" s="1" t="s">
        <v>330</v>
      </c>
      <c r="C231" s="1" t="s">
        <v>261</v>
      </c>
      <c r="D231" s="1">
        <v>56</v>
      </c>
      <c r="E231" s="1">
        <v>72.8</v>
      </c>
      <c r="F231" s="24">
        <f t="shared" si="5"/>
        <v>10.422035160052681</v>
      </c>
    </row>
    <row r="232" spans="2:6" x14ac:dyDescent="0.25">
      <c r="B232" s="1" t="s">
        <v>319</v>
      </c>
      <c r="C232" s="1" t="s">
        <v>261</v>
      </c>
      <c r="D232" s="1">
        <v>15</v>
      </c>
      <c r="E232" s="1">
        <v>19.5</v>
      </c>
      <c r="F232" s="24">
        <f t="shared" si="5"/>
        <v>2.7916165607283969</v>
      </c>
    </row>
    <row r="233" spans="2:6" x14ac:dyDescent="0.25">
      <c r="B233" s="1" t="s">
        <v>320</v>
      </c>
      <c r="C233" s="1" t="s">
        <v>26</v>
      </c>
      <c r="D233" s="1">
        <v>36</v>
      </c>
      <c r="E233" s="1">
        <v>68.400000000000006</v>
      </c>
      <c r="F233" s="24">
        <f t="shared" si="5"/>
        <v>9.7921319360934564</v>
      </c>
    </row>
    <row r="234" spans="2:6" x14ac:dyDescent="0.25">
      <c r="B234" s="1" t="s">
        <v>325</v>
      </c>
      <c r="C234" s="1" t="s">
        <v>261</v>
      </c>
      <c r="D234" s="1">
        <v>30</v>
      </c>
      <c r="E234" s="1">
        <v>57</v>
      </c>
      <c r="F234" s="24">
        <f t="shared" si="5"/>
        <v>8.1601099467445444</v>
      </c>
    </row>
    <row r="235" spans="2:6" x14ac:dyDescent="0.25">
      <c r="B235" s="1" t="s">
        <v>321</v>
      </c>
      <c r="C235" s="1" t="s">
        <v>256</v>
      </c>
      <c r="D235" s="1">
        <v>1</v>
      </c>
      <c r="E235" s="1">
        <v>50</v>
      </c>
      <c r="F235" s="24">
        <f t="shared" si="5"/>
        <v>7.1579911813548636</v>
      </c>
    </row>
    <row r="236" spans="2:6" x14ac:dyDescent="0.25">
      <c r="B236" s="1"/>
      <c r="C236" s="1"/>
      <c r="D236" s="1"/>
      <c r="E236" s="1"/>
      <c r="F236" s="24">
        <f t="shared" si="5"/>
        <v>0</v>
      </c>
    </row>
    <row r="237" spans="2:6" x14ac:dyDescent="0.25">
      <c r="B237" s="1"/>
      <c r="C237" s="1"/>
      <c r="D237" s="1"/>
      <c r="E237" s="1"/>
      <c r="F237" s="24">
        <f t="shared" si="5"/>
        <v>0</v>
      </c>
    </row>
    <row r="238" spans="2:6" x14ac:dyDescent="0.25">
      <c r="B238" s="1"/>
      <c r="C238" s="1"/>
      <c r="D238" s="1"/>
      <c r="E238" s="1"/>
      <c r="F238" s="24">
        <f t="shared" si="5"/>
        <v>0</v>
      </c>
    </row>
    <row r="239" spans="2:6" x14ac:dyDescent="0.25">
      <c r="B239" s="1"/>
      <c r="C239" s="1"/>
      <c r="D239" s="1"/>
      <c r="E239" s="1"/>
      <c r="F239" s="24">
        <f t="shared" si="5"/>
        <v>0</v>
      </c>
    </row>
    <row r="240" spans="2:6" x14ac:dyDescent="0.25">
      <c r="B240" s="10" t="s">
        <v>20</v>
      </c>
      <c r="C240" s="1"/>
      <c r="D240" s="1"/>
      <c r="E240" s="4">
        <f>SUM(E227:E239)</f>
        <v>480.70000000000005</v>
      </c>
      <c r="F240" s="22">
        <f>SUM(F227:F239)</f>
        <v>68.816927217545654</v>
      </c>
    </row>
    <row r="241" spans="2:6" x14ac:dyDescent="0.25">
      <c r="B241" s="4" t="s">
        <v>22</v>
      </c>
      <c r="C241" s="6"/>
      <c r="D241" s="6"/>
      <c r="E241" s="6"/>
      <c r="F241" s="23">
        <f>F225+F240</f>
        <v>84.496927217545647</v>
      </c>
    </row>
    <row r="242" spans="2:6" x14ac:dyDescent="0.25">
      <c r="B242" s="7"/>
      <c r="C242" s="7"/>
      <c r="D242" s="7"/>
      <c r="E242" s="7"/>
      <c r="F242" s="7"/>
    </row>
    <row r="243" spans="2:6" x14ac:dyDescent="0.25">
      <c r="B243" s="13"/>
      <c r="C243" s="13"/>
      <c r="D243" s="13"/>
      <c r="E243" s="13"/>
      <c r="F243" s="13"/>
    </row>
    <row r="244" spans="2:6" x14ac:dyDescent="0.25">
      <c r="B244" s="13"/>
      <c r="C244" s="13"/>
      <c r="D244" s="13"/>
      <c r="E244" s="13"/>
      <c r="F244" s="13"/>
    </row>
    <row r="245" spans="2:6" x14ac:dyDescent="0.25">
      <c r="B245" s="39" t="s">
        <v>23</v>
      </c>
      <c r="C245" s="38"/>
      <c r="D245" s="13"/>
      <c r="E245" s="39" t="s">
        <v>24</v>
      </c>
      <c r="F245" s="38"/>
    </row>
    <row r="247" spans="2:6" ht="32.450000000000003" customHeight="1" x14ac:dyDescent="0.25">
      <c r="B247" s="37" t="s">
        <v>46</v>
      </c>
      <c r="C247" s="37"/>
      <c r="D247" s="37"/>
      <c r="E247" s="37"/>
      <c r="F247" s="37"/>
    </row>
    <row r="248" spans="2:6" ht="31.15" customHeight="1" x14ac:dyDescent="0.25">
      <c r="B248" s="37" t="s">
        <v>1</v>
      </c>
      <c r="C248" s="37"/>
      <c r="D248" s="37"/>
      <c r="E248" s="37"/>
      <c r="F248" s="37"/>
    </row>
    <row r="249" spans="2:6" x14ac:dyDescent="0.25">
      <c r="B249" s="14" t="s">
        <v>0</v>
      </c>
      <c r="C249" s="14"/>
      <c r="D249" s="14"/>
      <c r="E249" s="14"/>
      <c r="F249" s="14"/>
    </row>
    <row r="250" spans="2:6" x14ac:dyDescent="0.25">
      <c r="B250" s="12"/>
      <c r="C250" s="38" t="s">
        <v>25</v>
      </c>
      <c r="D250" s="38"/>
      <c r="E250" s="12">
        <v>547.6</v>
      </c>
      <c r="F250" s="12" t="s">
        <v>26</v>
      </c>
    </row>
    <row r="252" spans="2:6" ht="60" x14ac:dyDescent="0.25">
      <c r="B252" s="1" t="s">
        <v>2</v>
      </c>
      <c r="C252" s="1" t="s">
        <v>4</v>
      </c>
      <c r="D252" s="1" t="s">
        <v>3</v>
      </c>
      <c r="E252" s="1" t="s">
        <v>443</v>
      </c>
      <c r="F252" s="1" t="s">
        <v>5</v>
      </c>
    </row>
    <row r="253" spans="2:6" x14ac:dyDescent="0.25">
      <c r="B253" s="1"/>
      <c r="C253" s="1"/>
      <c r="D253" s="1"/>
      <c r="E253" s="1"/>
      <c r="F253" s="1"/>
    </row>
    <row r="254" spans="2:6" x14ac:dyDescent="0.25">
      <c r="B254" s="3" t="s">
        <v>6</v>
      </c>
      <c r="C254" s="1"/>
      <c r="D254" s="1"/>
      <c r="E254" s="1"/>
      <c r="F254" s="1"/>
    </row>
    <row r="255" spans="2:6" x14ac:dyDescent="0.25">
      <c r="B255" s="5" t="s">
        <v>7</v>
      </c>
      <c r="C255" s="1"/>
      <c r="D255" s="1"/>
      <c r="E255" s="1"/>
      <c r="F255" s="5">
        <v>2.0099999999999998</v>
      </c>
    </row>
    <row r="256" spans="2:6" x14ac:dyDescent="0.25">
      <c r="B256" s="5" t="s">
        <v>8</v>
      </c>
      <c r="C256" s="1"/>
      <c r="D256" s="1"/>
      <c r="E256" s="1"/>
      <c r="F256" s="5">
        <v>5.34</v>
      </c>
    </row>
    <row r="257" spans="2:6" ht="24.75" x14ac:dyDescent="0.25">
      <c r="B257" s="5" t="s">
        <v>11</v>
      </c>
      <c r="C257" s="1"/>
      <c r="D257" s="1"/>
      <c r="E257" s="1"/>
      <c r="F257" s="5">
        <v>0.55000000000000004</v>
      </c>
    </row>
    <row r="258" spans="2:6" ht="24.75" x14ac:dyDescent="0.25">
      <c r="B258" s="5" t="s">
        <v>12</v>
      </c>
      <c r="C258" s="1"/>
      <c r="D258" s="1"/>
      <c r="E258" s="1"/>
      <c r="F258" s="5">
        <v>0.53</v>
      </c>
    </row>
    <row r="259" spans="2:6" ht="24.75" x14ac:dyDescent="0.25">
      <c r="B259" s="5" t="s">
        <v>13</v>
      </c>
      <c r="C259" s="1"/>
      <c r="D259" s="1"/>
      <c r="E259" s="1"/>
      <c r="F259" s="5">
        <v>0.19</v>
      </c>
    </row>
    <row r="260" spans="2:6" ht="24.75" x14ac:dyDescent="0.25">
      <c r="B260" s="5" t="s">
        <v>9</v>
      </c>
      <c r="C260" s="1"/>
      <c r="D260" s="1"/>
      <c r="E260" s="1"/>
      <c r="F260" s="5">
        <v>0.26</v>
      </c>
    </row>
    <row r="261" spans="2:6" ht="24.75" x14ac:dyDescent="0.25">
      <c r="B261" s="5" t="s">
        <v>15</v>
      </c>
      <c r="C261" s="1"/>
      <c r="D261" s="1"/>
      <c r="E261" s="1"/>
      <c r="F261" s="5">
        <v>0.27</v>
      </c>
    </row>
    <row r="262" spans="2:6" ht="24.75" x14ac:dyDescent="0.25">
      <c r="B262" s="5" t="s">
        <v>16</v>
      </c>
      <c r="C262" s="1"/>
      <c r="D262" s="1"/>
      <c r="E262" s="1"/>
      <c r="F262" s="5">
        <v>0.28999999999999998</v>
      </c>
    </row>
    <row r="263" spans="2:6" x14ac:dyDescent="0.25">
      <c r="B263" s="5" t="s">
        <v>17</v>
      </c>
      <c r="C263" s="1"/>
      <c r="D263" s="1"/>
      <c r="E263" s="1"/>
      <c r="F263" s="5">
        <v>0.32</v>
      </c>
    </row>
    <row r="264" spans="2:6" x14ac:dyDescent="0.25">
      <c r="B264" s="5" t="s">
        <v>18</v>
      </c>
      <c r="C264" s="1"/>
      <c r="D264" s="1"/>
      <c r="E264" s="1"/>
      <c r="F264" s="5">
        <v>1.97</v>
      </c>
    </row>
    <row r="265" spans="2:6" x14ac:dyDescent="0.25">
      <c r="B265" s="5" t="s">
        <v>19</v>
      </c>
      <c r="C265" s="1"/>
      <c r="D265" s="1"/>
      <c r="E265" s="1"/>
      <c r="F265" s="5">
        <v>3.95</v>
      </c>
    </row>
    <row r="266" spans="2:6" x14ac:dyDescent="0.25">
      <c r="B266" s="10" t="s">
        <v>20</v>
      </c>
      <c r="C266" s="1"/>
      <c r="D266" s="1"/>
      <c r="E266" s="1"/>
      <c r="F266" s="4">
        <f>SUM(F255:F265)</f>
        <v>15.68</v>
      </c>
    </row>
    <row r="267" spans="2:6" x14ac:dyDescent="0.25">
      <c r="B267" s="3" t="s">
        <v>21</v>
      </c>
      <c r="C267" s="1"/>
      <c r="D267" s="1"/>
      <c r="E267" s="1"/>
      <c r="F267" s="1"/>
    </row>
    <row r="268" spans="2:6" x14ac:dyDescent="0.25">
      <c r="B268" s="1" t="s">
        <v>357</v>
      </c>
      <c r="C268" s="1" t="s">
        <v>256</v>
      </c>
      <c r="D268" s="1">
        <v>1</v>
      </c>
      <c r="E268" s="1">
        <v>45</v>
      </c>
      <c r="F268" s="24">
        <f>E268/547.6*1000/12</f>
        <v>6.848064280496712</v>
      </c>
    </row>
    <row r="269" spans="2:6" x14ac:dyDescent="0.25">
      <c r="B269" s="1" t="s">
        <v>327</v>
      </c>
      <c r="C269" s="1" t="s">
        <v>261</v>
      </c>
      <c r="D269" s="1">
        <v>140</v>
      </c>
      <c r="E269" s="1">
        <v>140</v>
      </c>
      <c r="F269" s="24">
        <f t="shared" ref="F269:F280" si="6">E269/547.6*1000/12</f>
        <v>21.305088872656437</v>
      </c>
    </row>
    <row r="270" spans="2:6" x14ac:dyDescent="0.25">
      <c r="B270" s="1" t="s">
        <v>275</v>
      </c>
      <c r="C270" s="1" t="s">
        <v>26</v>
      </c>
      <c r="D270" s="1">
        <v>88</v>
      </c>
      <c r="E270" s="1">
        <v>132</v>
      </c>
      <c r="F270" s="24">
        <f t="shared" si="6"/>
        <v>20.087655222790357</v>
      </c>
    </row>
    <row r="271" spans="2:6" x14ac:dyDescent="0.25">
      <c r="B271" s="1" t="s">
        <v>329</v>
      </c>
      <c r="C271" s="1" t="s">
        <v>26</v>
      </c>
      <c r="D271" s="1">
        <v>40</v>
      </c>
      <c r="E271" s="1">
        <v>48</v>
      </c>
      <c r="F271" s="24">
        <f t="shared" si="6"/>
        <v>7.3046018991964941</v>
      </c>
    </row>
    <row r="272" spans="2:6" x14ac:dyDescent="0.25">
      <c r="B272" s="1" t="s">
        <v>330</v>
      </c>
      <c r="C272" s="1" t="s">
        <v>261</v>
      </c>
      <c r="D272" s="1">
        <v>56</v>
      </c>
      <c r="E272" s="1">
        <v>72.8</v>
      </c>
      <c r="F272" s="24">
        <f t="shared" si="6"/>
        <v>11.078646213781349</v>
      </c>
    </row>
    <row r="273" spans="2:6" x14ac:dyDescent="0.25">
      <c r="B273" s="1" t="s">
        <v>319</v>
      </c>
      <c r="C273" s="1" t="s">
        <v>261</v>
      </c>
      <c r="D273" s="1">
        <v>25</v>
      </c>
      <c r="E273" s="1">
        <v>32.5</v>
      </c>
      <c r="F273" s="24">
        <f t="shared" si="6"/>
        <v>4.9458242025809591</v>
      </c>
    </row>
    <row r="274" spans="2:6" x14ac:dyDescent="0.25">
      <c r="B274" s="1" t="s">
        <v>320</v>
      </c>
      <c r="C274" s="1" t="s">
        <v>26</v>
      </c>
      <c r="D274" s="1">
        <v>36</v>
      </c>
      <c r="E274" s="1">
        <v>68.400000000000006</v>
      </c>
      <c r="F274" s="24">
        <f t="shared" si="6"/>
        <v>10.409057706355004</v>
      </c>
    </row>
    <row r="275" spans="2:6" x14ac:dyDescent="0.25">
      <c r="B275" s="1" t="s">
        <v>325</v>
      </c>
      <c r="C275" s="1" t="s">
        <v>261</v>
      </c>
      <c r="D275" s="1">
        <v>30</v>
      </c>
      <c r="E275" s="1">
        <v>57</v>
      </c>
      <c r="F275" s="24">
        <f t="shared" si="6"/>
        <v>8.6742147552958357</v>
      </c>
    </row>
    <row r="276" spans="2:6" x14ac:dyDescent="0.25">
      <c r="B276" s="1" t="s">
        <v>339</v>
      </c>
      <c r="C276" s="1" t="s">
        <v>26</v>
      </c>
      <c r="D276" s="1">
        <v>5</v>
      </c>
      <c r="E276" s="1">
        <v>12.5</v>
      </c>
      <c r="F276" s="24">
        <f t="shared" si="6"/>
        <v>1.9022400779157536</v>
      </c>
    </row>
    <row r="277" spans="2:6" x14ac:dyDescent="0.25">
      <c r="B277" s="1"/>
      <c r="C277" s="1"/>
      <c r="D277" s="1"/>
      <c r="E277" s="1"/>
      <c r="F277" s="24">
        <f t="shared" si="6"/>
        <v>0</v>
      </c>
    </row>
    <row r="278" spans="2:6" x14ac:dyDescent="0.25">
      <c r="B278" s="1"/>
      <c r="C278" s="1"/>
      <c r="D278" s="1"/>
      <c r="E278" s="1"/>
      <c r="F278" s="24">
        <f t="shared" si="6"/>
        <v>0</v>
      </c>
    </row>
    <row r="279" spans="2:6" x14ac:dyDescent="0.25">
      <c r="B279" s="1"/>
      <c r="C279" s="1"/>
      <c r="D279" s="1"/>
      <c r="E279" s="1"/>
      <c r="F279" s="24">
        <f t="shared" si="6"/>
        <v>0</v>
      </c>
    </row>
    <row r="280" spans="2:6" x14ac:dyDescent="0.25">
      <c r="B280" s="1"/>
      <c r="C280" s="1"/>
      <c r="D280" s="1"/>
      <c r="E280" s="1"/>
      <c r="F280" s="24">
        <f t="shared" si="6"/>
        <v>0</v>
      </c>
    </row>
    <row r="281" spans="2:6" x14ac:dyDescent="0.25">
      <c r="B281" s="10" t="s">
        <v>20</v>
      </c>
      <c r="C281" s="1"/>
      <c r="D281" s="1"/>
      <c r="E281" s="4">
        <f>SUM(E268:E280)</f>
        <v>608.20000000000005</v>
      </c>
      <c r="F281" s="22">
        <f>SUM(F268:F280)</f>
        <v>92.555393231068891</v>
      </c>
    </row>
    <row r="282" spans="2:6" x14ac:dyDescent="0.25">
      <c r="B282" s="4" t="s">
        <v>22</v>
      </c>
      <c r="C282" s="6"/>
      <c r="D282" s="6"/>
      <c r="E282" s="6"/>
      <c r="F282" s="23">
        <f>F266+F281</f>
        <v>108.23539323106888</v>
      </c>
    </row>
    <row r="283" spans="2:6" x14ac:dyDescent="0.25">
      <c r="B283" s="7"/>
      <c r="C283" s="7"/>
      <c r="D283" s="7"/>
      <c r="E283" s="7"/>
      <c r="F283" s="7"/>
    </row>
    <row r="284" spans="2:6" x14ac:dyDescent="0.25">
      <c r="B284" s="13"/>
      <c r="C284" s="13"/>
      <c r="D284" s="13"/>
      <c r="E284" s="13"/>
      <c r="F284" s="13"/>
    </row>
    <row r="285" spans="2:6" x14ac:dyDescent="0.25">
      <c r="B285" s="13"/>
      <c r="C285" s="13"/>
      <c r="D285" s="13"/>
      <c r="E285" s="13"/>
      <c r="F285" s="13"/>
    </row>
    <row r="286" spans="2:6" x14ac:dyDescent="0.25">
      <c r="B286" s="39" t="s">
        <v>23</v>
      </c>
      <c r="C286" s="38"/>
      <c r="D286" s="13"/>
      <c r="E286" s="39" t="s">
        <v>24</v>
      </c>
      <c r="F286" s="38"/>
    </row>
    <row r="288" spans="2:6" ht="34.15" customHeight="1" x14ac:dyDescent="0.25">
      <c r="B288" s="37" t="s">
        <v>47</v>
      </c>
      <c r="C288" s="37"/>
      <c r="D288" s="37"/>
      <c r="E288" s="37"/>
      <c r="F288" s="37"/>
    </row>
    <row r="289" spans="2:6" ht="28.15" customHeight="1" x14ac:dyDescent="0.25">
      <c r="B289" s="37" t="s">
        <v>1</v>
      </c>
      <c r="C289" s="37"/>
      <c r="D289" s="37"/>
      <c r="E289" s="37"/>
      <c r="F289" s="37"/>
    </row>
    <row r="290" spans="2:6" x14ac:dyDescent="0.25">
      <c r="B290" s="14" t="s">
        <v>0</v>
      </c>
      <c r="C290" s="14"/>
      <c r="D290" s="14"/>
      <c r="E290" s="14"/>
      <c r="F290" s="14"/>
    </row>
    <row r="291" spans="2:6" x14ac:dyDescent="0.25">
      <c r="B291" s="12"/>
      <c r="C291" s="38" t="s">
        <v>25</v>
      </c>
      <c r="D291" s="38"/>
      <c r="E291" s="12">
        <v>541.6</v>
      </c>
      <c r="F291" s="12" t="s">
        <v>26</v>
      </c>
    </row>
    <row r="293" spans="2:6" ht="60" x14ac:dyDescent="0.25">
      <c r="B293" s="1" t="s">
        <v>2</v>
      </c>
      <c r="C293" s="1" t="s">
        <v>4</v>
      </c>
      <c r="D293" s="1" t="s">
        <v>3</v>
      </c>
      <c r="E293" s="1" t="s">
        <v>443</v>
      </c>
      <c r="F293" s="1" t="s">
        <v>5</v>
      </c>
    </row>
    <row r="294" spans="2:6" x14ac:dyDescent="0.25">
      <c r="B294" s="1"/>
      <c r="C294" s="1"/>
      <c r="D294" s="1"/>
      <c r="E294" s="1"/>
      <c r="F294" s="1"/>
    </row>
    <row r="295" spans="2:6" x14ac:dyDescent="0.25">
      <c r="B295" s="3" t="s">
        <v>6</v>
      </c>
      <c r="C295" s="1"/>
      <c r="D295" s="1"/>
      <c r="E295" s="1"/>
      <c r="F295" s="1"/>
    </row>
    <row r="296" spans="2:6" x14ac:dyDescent="0.25">
      <c r="B296" s="5" t="s">
        <v>7</v>
      </c>
      <c r="C296" s="1"/>
      <c r="D296" s="1"/>
      <c r="E296" s="1"/>
      <c r="F296" s="5">
        <v>2.0099999999999998</v>
      </c>
    </row>
    <row r="297" spans="2:6" x14ac:dyDescent="0.25">
      <c r="B297" s="5" t="s">
        <v>8</v>
      </c>
      <c r="C297" s="1"/>
      <c r="D297" s="1"/>
      <c r="E297" s="1"/>
      <c r="F297" s="5">
        <v>5.34</v>
      </c>
    </row>
    <row r="298" spans="2:6" ht="24.75" x14ac:dyDescent="0.25">
      <c r="B298" s="5" t="s">
        <v>11</v>
      </c>
      <c r="C298" s="1"/>
      <c r="D298" s="1"/>
      <c r="E298" s="1"/>
      <c r="F298" s="5">
        <v>0.55000000000000004</v>
      </c>
    </row>
    <row r="299" spans="2:6" ht="24.75" x14ac:dyDescent="0.25">
      <c r="B299" s="5" t="s">
        <v>12</v>
      </c>
      <c r="C299" s="1"/>
      <c r="D299" s="1"/>
      <c r="E299" s="1"/>
      <c r="F299" s="5">
        <v>0.53</v>
      </c>
    </row>
    <row r="300" spans="2:6" ht="24.75" x14ac:dyDescent="0.25">
      <c r="B300" s="5" t="s">
        <v>13</v>
      </c>
      <c r="C300" s="1"/>
      <c r="D300" s="1"/>
      <c r="E300" s="1"/>
      <c r="F300" s="5">
        <v>0.19</v>
      </c>
    </row>
    <row r="301" spans="2:6" ht="24.75" x14ac:dyDescent="0.25">
      <c r="B301" s="5" t="s">
        <v>9</v>
      </c>
      <c r="C301" s="1"/>
      <c r="D301" s="1"/>
      <c r="E301" s="1"/>
      <c r="F301" s="5">
        <v>0.26</v>
      </c>
    </row>
    <row r="302" spans="2:6" ht="24.75" x14ac:dyDescent="0.25">
      <c r="B302" s="5" t="s">
        <v>15</v>
      </c>
      <c r="C302" s="1"/>
      <c r="D302" s="1"/>
      <c r="E302" s="1"/>
      <c r="F302" s="5">
        <v>0.27</v>
      </c>
    </row>
    <row r="303" spans="2:6" ht="24.75" x14ac:dyDescent="0.25">
      <c r="B303" s="5" t="s">
        <v>16</v>
      </c>
      <c r="C303" s="1"/>
      <c r="D303" s="1"/>
      <c r="E303" s="1"/>
      <c r="F303" s="5">
        <v>0.28999999999999998</v>
      </c>
    </row>
    <row r="304" spans="2:6" x14ac:dyDescent="0.25">
      <c r="B304" s="5" t="s">
        <v>17</v>
      </c>
      <c r="C304" s="1"/>
      <c r="D304" s="1"/>
      <c r="E304" s="1"/>
      <c r="F304" s="5">
        <v>0.32</v>
      </c>
    </row>
    <row r="305" spans="2:6" x14ac:dyDescent="0.25">
      <c r="B305" s="5" t="s">
        <v>18</v>
      </c>
      <c r="C305" s="1"/>
      <c r="D305" s="1"/>
      <c r="E305" s="1"/>
      <c r="F305" s="5">
        <v>1.97</v>
      </c>
    </row>
    <row r="306" spans="2:6" x14ac:dyDescent="0.25">
      <c r="B306" s="5" t="s">
        <v>19</v>
      </c>
      <c r="C306" s="1"/>
      <c r="D306" s="1"/>
      <c r="E306" s="1"/>
      <c r="F306" s="5">
        <v>3.95</v>
      </c>
    </row>
    <row r="307" spans="2:6" x14ac:dyDescent="0.25">
      <c r="B307" s="10" t="s">
        <v>20</v>
      </c>
      <c r="C307" s="1"/>
      <c r="D307" s="1"/>
      <c r="E307" s="1"/>
      <c r="F307" s="4">
        <f>SUM(F296:F306)</f>
        <v>15.68</v>
      </c>
    </row>
    <row r="308" spans="2:6" x14ac:dyDescent="0.25">
      <c r="B308" s="3" t="s">
        <v>21</v>
      </c>
      <c r="C308" s="1"/>
      <c r="D308" s="1"/>
      <c r="E308" s="1"/>
      <c r="F308" s="1"/>
    </row>
    <row r="309" spans="2:6" x14ac:dyDescent="0.25">
      <c r="B309" s="1" t="s">
        <v>357</v>
      </c>
      <c r="C309" s="1" t="s">
        <v>256</v>
      </c>
      <c r="D309" s="1">
        <v>2</v>
      </c>
      <c r="E309" s="1">
        <v>90</v>
      </c>
      <c r="F309" s="24">
        <f>E309/541.6*1000/12</f>
        <v>13.847858197932053</v>
      </c>
    </row>
    <row r="310" spans="2:6" x14ac:dyDescent="0.25">
      <c r="B310" s="1" t="s">
        <v>327</v>
      </c>
      <c r="C310" s="1" t="s">
        <v>261</v>
      </c>
      <c r="D310" s="1">
        <v>110</v>
      </c>
      <c r="E310" s="1">
        <v>110</v>
      </c>
      <c r="F310" s="24">
        <f t="shared" ref="F310:F321" si="7">E310/541.6*1000/12</f>
        <v>16.925160019694733</v>
      </c>
    </row>
    <row r="311" spans="2:6" x14ac:dyDescent="0.25">
      <c r="B311" s="1" t="s">
        <v>275</v>
      </c>
      <c r="C311" s="1" t="s">
        <v>26</v>
      </c>
      <c r="D311" s="1">
        <v>100</v>
      </c>
      <c r="E311" s="1">
        <v>150</v>
      </c>
      <c r="F311" s="24">
        <f t="shared" si="7"/>
        <v>23.079763663220088</v>
      </c>
    </row>
    <row r="312" spans="2:6" x14ac:dyDescent="0.25">
      <c r="B312" s="1" t="s">
        <v>329</v>
      </c>
      <c r="C312" s="1" t="s">
        <v>26</v>
      </c>
      <c r="D312" s="1">
        <v>15</v>
      </c>
      <c r="E312" s="1">
        <v>18</v>
      </c>
      <c r="F312" s="24">
        <f t="shared" si="7"/>
        <v>2.7695716395864109</v>
      </c>
    </row>
    <row r="313" spans="2:6" x14ac:dyDescent="0.25">
      <c r="B313" s="1" t="s">
        <v>330</v>
      </c>
      <c r="C313" s="1" t="s">
        <v>261</v>
      </c>
      <c r="D313" s="1">
        <v>56</v>
      </c>
      <c r="E313" s="1">
        <v>72.8</v>
      </c>
      <c r="F313" s="24">
        <f t="shared" si="7"/>
        <v>11.20137863121615</v>
      </c>
    </row>
    <row r="314" spans="2:6" x14ac:dyDescent="0.25">
      <c r="B314" s="1" t="s">
        <v>319</v>
      </c>
      <c r="C314" s="1" t="s">
        <v>261</v>
      </c>
      <c r="D314" s="1">
        <v>15</v>
      </c>
      <c r="E314" s="1">
        <v>19.5</v>
      </c>
      <c r="F314" s="24">
        <f t="shared" si="7"/>
        <v>3.0003692762186116</v>
      </c>
    </row>
    <row r="315" spans="2:6" x14ac:dyDescent="0.25">
      <c r="B315" s="1" t="s">
        <v>320</v>
      </c>
      <c r="C315" s="1" t="s">
        <v>26</v>
      </c>
      <c r="D315" s="1">
        <v>36</v>
      </c>
      <c r="E315" s="1">
        <v>68.400000000000006</v>
      </c>
      <c r="F315" s="24">
        <f t="shared" si="7"/>
        <v>10.52437223042836</v>
      </c>
    </row>
    <row r="316" spans="2:6" x14ac:dyDescent="0.25">
      <c r="B316" s="1" t="s">
        <v>325</v>
      </c>
      <c r="C316" s="1" t="s">
        <v>261</v>
      </c>
      <c r="D316" s="1">
        <v>30</v>
      </c>
      <c r="E316" s="1">
        <v>57</v>
      </c>
      <c r="F316" s="24">
        <f t="shared" si="7"/>
        <v>8.7703101920236328</v>
      </c>
    </row>
    <row r="317" spans="2:6" x14ac:dyDescent="0.25">
      <c r="B317" s="1" t="s">
        <v>339</v>
      </c>
      <c r="C317" s="1" t="s">
        <v>26</v>
      </c>
      <c r="D317" s="1">
        <v>5</v>
      </c>
      <c r="E317" s="1">
        <v>12.5</v>
      </c>
      <c r="F317" s="24">
        <f t="shared" si="7"/>
        <v>1.9233136386016738</v>
      </c>
    </row>
    <row r="318" spans="2:6" x14ac:dyDescent="0.25">
      <c r="B318" s="1" t="s">
        <v>334</v>
      </c>
      <c r="C318" s="1" t="s">
        <v>265</v>
      </c>
      <c r="D318" s="1">
        <v>1</v>
      </c>
      <c r="E318" s="1">
        <v>10</v>
      </c>
      <c r="F318" s="24">
        <f t="shared" si="7"/>
        <v>1.5386509108813391</v>
      </c>
    </row>
    <row r="319" spans="2:6" x14ac:dyDescent="0.25">
      <c r="B319" s="1"/>
      <c r="C319" s="1"/>
      <c r="D319" s="1"/>
      <c r="E319" s="1"/>
      <c r="F319" s="24">
        <f t="shared" si="7"/>
        <v>0</v>
      </c>
    </row>
    <row r="320" spans="2:6" x14ac:dyDescent="0.25">
      <c r="B320" s="1"/>
      <c r="C320" s="1"/>
      <c r="D320" s="1"/>
      <c r="E320" s="1"/>
      <c r="F320" s="24">
        <f t="shared" si="7"/>
        <v>0</v>
      </c>
    </row>
    <row r="321" spans="2:6" x14ac:dyDescent="0.25">
      <c r="B321" s="1"/>
      <c r="C321" s="1"/>
      <c r="D321" s="1"/>
      <c r="E321" s="1"/>
      <c r="F321" s="24">
        <f t="shared" si="7"/>
        <v>0</v>
      </c>
    </row>
    <row r="322" spans="2:6" x14ac:dyDescent="0.25">
      <c r="B322" s="10" t="s">
        <v>20</v>
      </c>
      <c r="C322" s="1"/>
      <c r="D322" s="1"/>
      <c r="E322" s="4">
        <f>SUM(E309:E321)</f>
        <v>608.20000000000005</v>
      </c>
      <c r="F322" s="22">
        <f>SUM(F309:F321)</f>
        <v>93.580748399803042</v>
      </c>
    </row>
    <row r="323" spans="2:6" x14ac:dyDescent="0.25">
      <c r="B323" s="4" t="s">
        <v>22</v>
      </c>
      <c r="C323" s="6"/>
      <c r="D323" s="6"/>
      <c r="E323" s="6"/>
      <c r="F323" s="23">
        <f>F307+F322</f>
        <v>109.26074839980305</v>
      </c>
    </row>
    <row r="324" spans="2:6" x14ac:dyDescent="0.25">
      <c r="B324" s="7"/>
      <c r="C324" s="7"/>
      <c r="D324" s="7"/>
      <c r="E324" s="7"/>
      <c r="F324" s="7"/>
    </row>
    <row r="325" spans="2:6" x14ac:dyDescent="0.25">
      <c r="B325" s="13"/>
      <c r="C325" s="13"/>
      <c r="D325" s="13"/>
      <c r="E325" s="13"/>
      <c r="F325" s="13"/>
    </row>
    <row r="326" spans="2:6" x14ac:dyDescent="0.25">
      <c r="B326" s="13"/>
      <c r="C326" s="13"/>
      <c r="D326" s="13"/>
      <c r="E326" s="13"/>
      <c r="F326" s="13"/>
    </row>
    <row r="327" spans="2:6" x14ac:dyDescent="0.25">
      <c r="B327" s="39" t="s">
        <v>23</v>
      </c>
      <c r="C327" s="38"/>
      <c r="D327" s="13"/>
      <c r="E327" s="39" t="s">
        <v>24</v>
      </c>
      <c r="F327" s="38"/>
    </row>
    <row r="329" spans="2:6" ht="36" customHeight="1" x14ac:dyDescent="0.25">
      <c r="B329" s="37" t="s">
        <v>48</v>
      </c>
      <c r="C329" s="37"/>
      <c r="D329" s="37"/>
      <c r="E329" s="37"/>
      <c r="F329" s="37"/>
    </row>
    <row r="330" spans="2:6" ht="36" customHeight="1" x14ac:dyDescent="0.25">
      <c r="B330" s="37" t="s">
        <v>1</v>
      </c>
      <c r="C330" s="37"/>
      <c r="D330" s="37"/>
      <c r="E330" s="37"/>
      <c r="F330" s="37"/>
    </row>
    <row r="331" spans="2:6" x14ac:dyDescent="0.25">
      <c r="B331" s="14" t="s">
        <v>0</v>
      </c>
      <c r="C331" s="14"/>
      <c r="D331" s="14"/>
      <c r="E331" s="14"/>
      <c r="F331" s="14"/>
    </row>
    <row r="332" spans="2:6" x14ac:dyDescent="0.25">
      <c r="B332" s="12"/>
      <c r="C332" s="38" t="s">
        <v>25</v>
      </c>
      <c r="D332" s="38"/>
      <c r="E332" s="12">
        <v>2946.3</v>
      </c>
      <c r="F332" s="12" t="s">
        <v>26</v>
      </c>
    </row>
    <row r="334" spans="2:6" ht="60" x14ac:dyDescent="0.25">
      <c r="B334" s="1" t="s">
        <v>2</v>
      </c>
      <c r="C334" s="1" t="s">
        <v>4</v>
      </c>
      <c r="D334" s="1" t="s">
        <v>3</v>
      </c>
      <c r="E334" s="1" t="s">
        <v>443</v>
      </c>
      <c r="F334" s="1" t="s">
        <v>5</v>
      </c>
    </row>
    <row r="335" spans="2:6" x14ac:dyDescent="0.25">
      <c r="B335" s="1"/>
      <c r="C335" s="1"/>
      <c r="D335" s="1"/>
      <c r="E335" s="1"/>
      <c r="F335" s="1"/>
    </row>
    <row r="336" spans="2:6" x14ac:dyDescent="0.25">
      <c r="B336" s="3" t="s">
        <v>6</v>
      </c>
      <c r="C336" s="1"/>
      <c r="D336" s="1"/>
      <c r="E336" s="1"/>
      <c r="F336" s="1"/>
    </row>
    <row r="337" spans="2:6" x14ac:dyDescent="0.25">
      <c r="B337" s="5" t="s">
        <v>7</v>
      </c>
      <c r="C337" s="1"/>
      <c r="D337" s="1"/>
      <c r="E337" s="1"/>
      <c r="F337" s="5">
        <v>2.0099999999999998</v>
      </c>
    </row>
    <row r="338" spans="2:6" x14ac:dyDescent="0.25">
      <c r="B338" s="5" t="s">
        <v>8</v>
      </c>
      <c r="C338" s="1"/>
      <c r="D338" s="1"/>
      <c r="E338" s="1"/>
      <c r="F338" s="5">
        <v>5.34</v>
      </c>
    </row>
    <row r="339" spans="2:6" x14ac:dyDescent="0.25">
      <c r="B339" s="15" t="s">
        <v>30</v>
      </c>
      <c r="C339" s="1"/>
      <c r="D339" s="1"/>
      <c r="E339" s="1"/>
      <c r="F339" s="5">
        <v>0.06</v>
      </c>
    </row>
    <row r="340" spans="2:6" ht="24.75" x14ac:dyDescent="0.25">
      <c r="B340" s="5" t="s">
        <v>11</v>
      </c>
      <c r="C340" s="1"/>
      <c r="D340" s="1"/>
      <c r="E340" s="1"/>
      <c r="F340" s="5">
        <v>0.55000000000000004</v>
      </c>
    </row>
    <row r="341" spans="2:6" ht="24.75" x14ac:dyDescent="0.25">
      <c r="B341" s="5" t="s">
        <v>12</v>
      </c>
      <c r="C341" s="1"/>
      <c r="D341" s="1"/>
      <c r="E341" s="1"/>
      <c r="F341" s="5">
        <v>0.53</v>
      </c>
    </row>
    <row r="342" spans="2:6" ht="24.75" x14ac:dyDescent="0.25">
      <c r="B342" s="5" t="s">
        <v>13</v>
      </c>
      <c r="C342" s="1"/>
      <c r="D342" s="1"/>
      <c r="E342" s="1"/>
      <c r="F342" s="5">
        <v>0.19</v>
      </c>
    </row>
    <row r="343" spans="2:6" ht="24.75" x14ac:dyDescent="0.25">
      <c r="B343" s="5" t="s">
        <v>14</v>
      </c>
      <c r="C343" s="1"/>
      <c r="D343" s="1"/>
      <c r="E343" s="1"/>
      <c r="F343" s="5">
        <v>1.25</v>
      </c>
    </row>
    <row r="344" spans="2:6" ht="24.75" x14ac:dyDescent="0.25">
      <c r="B344" s="5" t="s">
        <v>9</v>
      </c>
      <c r="C344" s="1"/>
      <c r="D344" s="1"/>
      <c r="E344" s="1"/>
      <c r="F344" s="5">
        <v>0.26</v>
      </c>
    </row>
    <row r="345" spans="2:6" ht="24.75" x14ac:dyDescent="0.25">
      <c r="B345" s="5" t="s">
        <v>15</v>
      </c>
      <c r="C345" s="1"/>
      <c r="D345" s="1"/>
      <c r="E345" s="1"/>
      <c r="F345" s="5">
        <v>0.27</v>
      </c>
    </row>
    <row r="346" spans="2:6" ht="24.75" x14ac:dyDescent="0.25">
      <c r="B346" s="5" t="s">
        <v>16</v>
      </c>
      <c r="C346" s="1"/>
      <c r="D346" s="1"/>
      <c r="E346" s="1"/>
      <c r="F346" s="5">
        <v>0.28999999999999998</v>
      </c>
    </row>
    <row r="347" spans="2:6" x14ac:dyDescent="0.25">
      <c r="B347" s="5" t="s">
        <v>17</v>
      </c>
      <c r="C347" s="1"/>
      <c r="D347" s="1"/>
      <c r="E347" s="1"/>
      <c r="F347" s="5">
        <v>0.32</v>
      </c>
    </row>
    <row r="348" spans="2:6" x14ac:dyDescent="0.25">
      <c r="B348" s="5" t="s">
        <v>18</v>
      </c>
      <c r="C348" s="1"/>
      <c r="D348" s="1"/>
      <c r="E348" s="1"/>
      <c r="F348" s="5">
        <v>1.97</v>
      </c>
    </row>
    <row r="349" spans="2:6" x14ac:dyDescent="0.25">
      <c r="B349" s="5" t="s">
        <v>19</v>
      </c>
      <c r="C349" s="1"/>
      <c r="D349" s="1"/>
      <c r="E349" s="1"/>
      <c r="F349" s="5">
        <v>3.95</v>
      </c>
    </row>
    <row r="350" spans="2:6" x14ac:dyDescent="0.25">
      <c r="B350" s="10" t="s">
        <v>20</v>
      </c>
      <c r="C350" s="1"/>
      <c r="D350" s="1"/>
      <c r="E350" s="1"/>
      <c r="F350" s="4">
        <f>SUM(F337:F349)</f>
        <v>16.989999999999998</v>
      </c>
    </row>
    <row r="351" spans="2:6" x14ac:dyDescent="0.25">
      <c r="B351" s="3" t="s">
        <v>21</v>
      </c>
      <c r="C351" s="1"/>
      <c r="D351" s="1"/>
      <c r="E351" s="1"/>
      <c r="F351" s="1"/>
    </row>
    <row r="352" spans="2:6" x14ac:dyDescent="0.25">
      <c r="B352" s="1" t="s">
        <v>310</v>
      </c>
      <c r="C352" s="1" t="s">
        <v>26</v>
      </c>
      <c r="D352" s="1">
        <v>90</v>
      </c>
      <c r="E352" s="1">
        <v>135</v>
      </c>
      <c r="F352" s="24">
        <f>E352/2946.3*1000/12</f>
        <v>3.8183484370227059</v>
      </c>
    </row>
    <row r="353" spans="2:6" x14ac:dyDescent="0.25">
      <c r="B353" s="1" t="s">
        <v>330</v>
      </c>
      <c r="C353" s="1" t="s">
        <v>261</v>
      </c>
      <c r="D353" s="1">
        <v>56</v>
      </c>
      <c r="E353" s="1">
        <v>72.8</v>
      </c>
      <c r="F353" s="24">
        <f t="shared" ref="F353:F364" si="8">E353/2946.3*1000/12</f>
        <v>2.0590797497426148</v>
      </c>
    </row>
    <row r="354" spans="2:6" x14ac:dyDescent="0.25">
      <c r="B354" s="1" t="s">
        <v>319</v>
      </c>
      <c r="C354" s="1" t="s">
        <v>261</v>
      </c>
      <c r="D354" s="1">
        <v>25</v>
      </c>
      <c r="E354" s="1">
        <v>32.5</v>
      </c>
      <c r="F354" s="24">
        <f t="shared" si="8"/>
        <v>0.91923203113509588</v>
      </c>
    </row>
    <row r="355" spans="2:6" x14ac:dyDescent="0.25">
      <c r="B355" s="1" t="s">
        <v>320</v>
      </c>
      <c r="C355" s="1" t="s">
        <v>26</v>
      </c>
      <c r="D355" s="1">
        <v>36</v>
      </c>
      <c r="E355" s="1">
        <v>68.400000000000006</v>
      </c>
      <c r="F355" s="24">
        <f t="shared" si="8"/>
        <v>1.9346298747581712</v>
      </c>
    </row>
    <row r="356" spans="2:6" x14ac:dyDescent="0.25">
      <c r="B356" s="1" t="s">
        <v>325</v>
      </c>
      <c r="C356" s="1" t="s">
        <v>261</v>
      </c>
      <c r="D356" s="1">
        <v>30</v>
      </c>
      <c r="E356" s="1">
        <v>57</v>
      </c>
      <c r="F356" s="24">
        <f t="shared" si="8"/>
        <v>1.6121915622984762</v>
      </c>
    </row>
    <row r="357" spans="2:6" x14ac:dyDescent="0.25">
      <c r="B357" s="1" t="s">
        <v>458</v>
      </c>
      <c r="C357" s="1" t="s">
        <v>256</v>
      </c>
      <c r="D357" s="1">
        <v>2</v>
      </c>
      <c r="E357" s="1">
        <v>110</v>
      </c>
      <c r="F357" s="24">
        <f t="shared" si="8"/>
        <v>3.1112468746110942</v>
      </c>
    </row>
    <row r="358" spans="2:6" x14ac:dyDescent="0.25">
      <c r="B358" s="1" t="s">
        <v>459</v>
      </c>
      <c r="C358" s="1" t="s">
        <v>261</v>
      </c>
      <c r="D358" s="1">
        <v>400</v>
      </c>
      <c r="E358" s="1">
        <v>480</v>
      </c>
      <c r="F358" s="24">
        <f t="shared" si="8"/>
        <v>13.576349998302957</v>
      </c>
    </row>
    <row r="359" spans="2:6" x14ac:dyDescent="0.25">
      <c r="B359" s="1" t="s">
        <v>460</v>
      </c>
      <c r="C359" s="1" t="s">
        <v>261</v>
      </c>
      <c r="D359" s="1">
        <v>140</v>
      </c>
      <c r="E359" s="1">
        <v>140</v>
      </c>
      <c r="F359" s="24">
        <f t="shared" si="8"/>
        <v>3.9597687495050287</v>
      </c>
    </row>
    <row r="360" spans="2:6" x14ac:dyDescent="0.25">
      <c r="B360" s="1"/>
      <c r="C360" s="1"/>
      <c r="D360" s="1"/>
      <c r="E360" s="1"/>
      <c r="F360" s="24">
        <f t="shared" si="8"/>
        <v>0</v>
      </c>
    </row>
    <row r="361" spans="2:6" x14ac:dyDescent="0.25">
      <c r="B361" s="1"/>
      <c r="C361" s="1"/>
      <c r="D361" s="1"/>
      <c r="E361" s="1"/>
      <c r="F361" s="24">
        <f t="shared" si="8"/>
        <v>0</v>
      </c>
    </row>
    <row r="362" spans="2:6" x14ac:dyDescent="0.25">
      <c r="B362" s="1"/>
      <c r="C362" s="1"/>
      <c r="D362" s="1"/>
      <c r="E362" s="1"/>
      <c r="F362" s="24">
        <f t="shared" si="8"/>
        <v>0</v>
      </c>
    </row>
    <row r="363" spans="2:6" x14ac:dyDescent="0.25">
      <c r="B363" s="1"/>
      <c r="C363" s="1"/>
      <c r="D363" s="1"/>
      <c r="E363" s="1"/>
      <c r="F363" s="24">
        <f t="shared" si="8"/>
        <v>0</v>
      </c>
    </row>
    <row r="364" spans="2:6" x14ac:dyDescent="0.25">
      <c r="B364" s="1"/>
      <c r="C364" s="1"/>
      <c r="D364" s="1"/>
      <c r="E364" s="1"/>
      <c r="F364" s="24">
        <f t="shared" si="8"/>
        <v>0</v>
      </c>
    </row>
    <row r="365" spans="2:6" x14ac:dyDescent="0.25">
      <c r="B365" s="10" t="s">
        <v>20</v>
      </c>
      <c r="C365" s="1"/>
      <c r="D365" s="1"/>
      <c r="E365" s="4">
        <f>SUM(E352:E364)</f>
        <v>1095.7</v>
      </c>
      <c r="F365" s="22">
        <f>SUM(F352:F364)</f>
        <v>30.990847277376144</v>
      </c>
    </row>
    <row r="366" spans="2:6" x14ac:dyDescent="0.25">
      <c r="B366" s="4" t="s">
        <v>22</v>
      </c>
      <c r="C366" s="6"/>
      <c r="D366" s="6"/>
      <c r="E366" s="6"/>
      <c r="F366" s="23">
        <f>F350+F365</f>
        <v>47.980847277376142</v>
      </c>
    </row>
    <row r="367" spans="2:6" x14ac:dyDescent="0.25">
      <c r="B367" s="7"/>
      <c r="C367" s="7"/>
      <c r="D367" s="7"/>
      <c r="E367" s="7"/>
      <c r="F367" s="7"/>
    </row>
    <row r="368" spans="2:6" x14ac:dyDescent="0.25">
      <c r="B368" s="13"/>
      <c r="C368" s="13"/>
      <c r="D368" s="13"/>
      <c r="E368" s="13"/>
      <c r="F368" s="13"/>
    </row>
    <row r="369" spans="2:6" x14ac:dyDescent="0.25">
      <c r="B369" s="13"/>
      <c r="C369" s="13"/>
      <c r="D369" s="13"/>
      <c r="E369" s="13"/>
      <c r="F369" s="13"/>
    </row>
    <row r="370" spans="2:6" x14ac:dyDescent="0.25">
      <c r="B370" s="39" t="s">
        <v>23</v>
      </c>
      <c r="C370" s="38"/>
      <c r="D370" s="13"/>
      <c r="E370" s="39" t="s">
        <v>24</v>
      </c>
      <c r="F370" s="38"/>
    </row>
  </sheetData>
  <mergeCells count="45">
    <mergeCell ref="B84:F84"/>
    <mergeCell ref="B1:F1"/>
    <mergeCell ref="B2:F2"/>
    <mergeCell ref="C4:D4"/>
    <mergeCell ref="B40:C40"/>
    <mergeCell ref="E40:F40"/>
    <mergeCell ref="B42:F42"/>
    <mergeCell ref="B43:F43"/>
    <mergeCell ref="C45:D45"/>
    <mergeCell ref="B81:C81"/>
    <mergeCell ref="E81:F81"/>
    <mergeCell ref="B83:F83"/>
    <mergeCell ref="B204:C204"/>
    <mergeCell ref="E204:F204"/>
    <mergeCell ref="B163:C163"/>
    <mergeCell ref="E163:F163"/>
    <mergeCell ref="B165:F165"/>
    <mergeCell ref="B166:F166"/>
    <mergeCell ref="C168:D168"/>
    <mergeCell ref="B289:F289"/>
    <mergeCell ref="B206:F206"/>
    <mergeCell ref="B207:F207"/>
    <mergeCell ref="C209:D209"/>
    <mergeCell ref="B245:C245"/>
    <mergeCell ref="E245:F245"/>
    <mergeCell ref="B247:F247"/>
    <mergeCell ref="B248:F248"/>
    <mergeCell ref="C250:D250"/>
    <mergeCell ref="B286:C286"/>
    <mergeCell ref="E286:F286"/>
    <mergeCell ref="B288:F288"/>
    <mergeCell ref="B370:C370"/>
    <mergeCell ref="E370:F370"/>
    <mergeCell ref="C291:D291"/>
    <mergeCell ref="B327:C327"/>
    <mergeCell ref="E327:F327"/>
    <mergeCell ref="B329:F329"/>
    <mergeCell ref="B330:F330"/>
    <mergeCell ref="C332:D332"/>
    <mergeCell ref="C86:D86"/>
    <mergeCell ref="C126:D126"/>
    <mergeCell ref="B124:F124"/>
    <mergeCell ref="B123:F123"/>
    <mergeCell ref="E121:F121"/>
    <mergeCell ref="B121:C1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38"/>
  <sheetViews>
    <sheetView topLeftCell="A346" workbookViewId="0">
      <selection activeCell="F282" sqref="F282"/>
    </sheetView>
  </sheetViews>
  <sheetFormatPr defaultRowHeight="15" x14ac:dyDescent="0.25"/>
  <cols>
    <col min="2" max="2" width="37.5703125" customWidth="1"/>
    <col min="6" max="6" width="11.42578125" bestFit="1" customWidth="1"/>
  </cols>
  <sheetData>
    <row r="2" spans="2:6" ht="28.15" customHeight="1" x14ac:dyDescent="0.25">
      <c r="B2" s="37" t="s">
        <v>49</v>
      </c>
      <c r="C2" s="37"/>
      <c r="D2" s="37"/>
      <c r="E2" s="37"/>
      <c r="F2" s="37"/>
    </row>
    <row r="3" spans="2:6" ht="36" customHeight="1" x14ac:dyDescent="0.25">
      <c r="B3" s="37" t="s">
        <v>1</v>
      </c>
      <c r="C3" s="37"/>
      <c r="D3" s="37"/>
      <c r="E3" s="37"/>
      <c r="F3" s="37"/>
    </row>
    <row r="4" spans="2:6" x14ac:dyDescent="0.25">
      <c r="B4" s="14" t="s">
        <v>0</v>
      </c>
      <c r="C4" s="14"/>
      <c r="D4" s="14"/>
      <c r="E4" s="14"/>
      <c r="F4" s="14"/>
    </row>
    <row r="5" spans="2:6" x14ac:dyDescent="0.25">
      <c r="B5" s="12"/>
      <c r="C5" s="38" t="s">
        <v>25</v>
      </c>
      <c r="D5" s="38"/>
      <c r="E5" s="12">
        <v>3020.9</v>
      </c>
      <c r="F5" s="12" t="s">
        <v>26</v>
      </c>
    </row>
    <row r="7" spans="2:6" ht="60" x14ac:dyDescent="0.25">
      <c r="B7" s="1" t="s">
        <v>2</v>
      </c>
      <c r="C7" s="1" t="s">
        <v>4</v>
      </c>
      <c r="D7" s="1" t="s">
        <v>3</v>
      </c>
      <c r="E7" s="1" t="s">
        <v>447</v>
      </c>
      <c r="F7" s="1" t="s">
        <v>5</v>
      </c>
    </row>
    <row r="8" spans="2:6" x14ac:dyDescent="0.25">
      <c r="B8" s="1"/>
      <c r="C8" s="1"/>
      <c r="D8" s="1"/>
      <c r="E8" s="1"/>
      <c r="F8" s="1"/>
    </row>
    <row r="9" spans="2:6" x14ac:dyDescent="0.25">
      <c r="B9" s="3" t="s">
        <v>6</v>
      </c>
      <c r="C9" s="1"/>
      <c r="D9" s="1"/>
      <c r="E9" s="1"/>
      <c r="F9" s="1"/>
    </row>
    <row r="10" spans="2:6" x14ac:dyDescent="0.25">
      <c r="B10" s="5" t="s">
        <v>7</v>
      </c>
      <c r="C10" s="1"/>
      <c r="D10" s="1"/>
      <c r="E10" s="1"/>
      <c r="F10" s="5">
        <v>2.0099999999999998</v>
      </c>
    </row>
    <row r="11" spans="2:6" x14ac:dyDescent="0.25">
      <c r="B11" s="5" t="s">
        <v>8</v>
      </c>
      <c r="C11" s="1"/>
      <c r="D11" s="1"/>
      <c r="E11" s="1"/>
      <c r="F11" s="5">
        <v>5.34</v>
      </c>
    </row>
    <row r="12" spans="2:6" x14ac:dyDescent="0.25">
      <c r="B12" s="15" t="s">
        <v>30</v>
      </c>
      <c r="C12" s="1"/>
      <c r="D12" s="1"/>
      <c r="E12" s="1"/>
      <c r="F12" s="5">
        <v>0.06</v>
      </c>
    </row>
    <row r="13" spans="2:6" ht="24.75" x14ac:dyDescent="0.25">
      <c r="B13" s="5" t="s">
        <v>11</v>
      </c>
      <c r="C13" s="1"/>
      <c r="D13" s="1"/>
      <c r="E13" s="1"/>
      <c r="F13" s="5">
        <v>0.55000000000000004</v>
      </c>
    </row>
    <row r="14" spans="2:6" ht="24.75" x14ac:dyDescent="0.25">
      <c r="B14" s="5" t="s">
        <v>12</v>
      </c>
      <c r="C14" s="1"/>
      <c r="D14" s="1"/>
      <c r="E14" s="1"/>
      <c r="F14" s="5">
        <v>0.53</v>
      </c>
    </row>
    <row r="15" spans="2:6" ht="24.75" x14ac:dyDescent="0.25">
      <c r="B15" s="5" t="s">
        <v>13</v>
      </c>
      <c r="C15" s="1"/>
      <c r="D15" s="1"/>
      <c r="E15" s="1"/>
      <c r="F15" s="5">
        <v>0.19</v>
      </c>
    </row>
    <row r="16" spans="2:6" ht="24.75" x14ac:dyDescent="0.25">
      <c r="B16" s="5" t="s">
        <v>14</v>
      </c>
      <c r="C16" s="1"/>
      <c r="D16" s="1"/>
      <c r="E16" s="1"/>
      <c r="F16" s="5">
        <v>1.25</v>
      </c>
    </row>
    <row r="17" spans="2:6" ht="24.75" x14ac:dyDescent="0.25">
      <c r="B17" s="5" t="s">
        <v>9</v>
      </c>
      <c r="C17" s="1"/>
      <c r="D17" s="1"/>
      <c r="E17" s="1"/>
      <c r="F17" s="5">
        <v>0.26</v>
      </c>
    </row>
    <row r="18" spans="2:6" ht="24.75" x14ac:dyDescent="0.25">
      <c r="B18" s="5" t="s">
        <v>15</v>
      </c>
      <c r="C18" s="1"/>
      <c r="D18" s="1"/>
      <c r="E18" s="1"/>
      <c r="F18" s="5">
        <v>0.27</v>
      </c>
    </row>
    <row r="19" spans="2:6" ht="24.75" x14ac:dyDescent="0.25">
      <c r="B19" s="5" t="s">
        <v>16</v>
      </c>
      <c r="C19" s="1"/>
      <c r="D19" s="1"/>
      <c r="E19" s="1"/>
      <c r="F19" s="5">
        <v>0.28999999999999998</v>
      </c>
    </row>
    <row r="20" spans="2:6" x14ac:dyDescent="0.25">
      <c r="B20" s="5" t="s">
        <v>17</v>
      </c>
      <c r="C20" s="1"/>
      <c r="D20" s="1"/>
      <c r="E20" s="1"/>
      <c r="F20" s="5">
        <v>0.32</v>
      </c>
    </row>
    <row r="21" spans="2:6" x14ac:dyDescent="0.25">
      <c r="B21" s="5" t="s">
        <v>18</v>
      </c>
      <c r="C21" s="1"/>
      <c r="D21" s="1"/>
      <c r="E21" s="1"/>
      <c r="F21" s="5">
        <v>1.97</v>
      </c>
    </row>
    <row r="22" spans="2:6" x14ac:dyDescent="0.25">
      <c r="B22" s="5" t="s">
        <v>19</v>
      </c>
      <c r="C22" s="1"/>
      <c r="D22" s="1"/>
      <c r="E22" s="1"/>
      <c r="F22" s="5">
        <v>3.95</v>
      </c>
    </row>
    <row r="23" spans="2:6" x14ac:dyDescent="0.25">
      <c r="B23" s="10" t="s">
        <v>20</v>
      </c>
      <c r="C23" s="1"/>
      <c r="D23" s="1"/>
      <c r="E23" s="1"/>
      <c r="F23" s="4">
        <f>SUM(F10:F22)</f>
        <v>16.989999999999998</v>
      </c>
    </row>
    <row r="24" spans="2:6" x14ac:dyDescent="0.25">
      <c r="B24" s="3" t="s">
        <v>21</v>
      </c>
      <c r="C24" s="1"/>
      <c r="D24" s="1"/>
      <c r="E24" s="1"/>
      <c r="F24" s="1"/>
    </row>
    <row r="25" spans="2:6" x14ac:dyDescent="0.25">
      <c r="B25" s="1" t="s">
        <v>317</v>
      </c>
      <c r="C25" s="1" t="s">
        <v>256</v>
      </c>
      <c r="D25" s="1">
        <v>1</v>
      </c>
      <c r="E25" s="1">
        <v>60</v>
      </c>
      <c r="F25" s="24">
        <f>E25/3020.9*1000/12</f>
        <v>1.6551358866562944</v>
      </c>
    </row>
    <row r="26" spans="2:6" x14ac:dyDescent="0.25">
      <c r="B26" s="1" t="s">
        <v>365</v>
      </c>
      <c r="C26" s="1" t="s">
        <v>265</v>
      </c>
      <c r="D26" s="1">
        <v>0.33</v>
      </c>
      <c r="E26" s="1">
        <v>6.6</v>
      </c>
      <c r="F26" s="24">
        <f t="shared" ref="F26:F37" si="0">E26/3020.9*1000/12</f>
        <v>0.18206494753219238</v>
      </c>
    </row>
    <row r="27" spans="2:6" x14ac:dyDescent="0.25">
      <c r="B27" s="1" t="s">
        <v>366</v>
      </c>
      <c r="C27" s="1" t="s">
        <v>368</v>
      </c>
      <c r="D27" s="1">
        <v>0.33</v>
      </c>
      <c r="E27" s="1">
        <v>16.5</v>
      </c>
      <c r="F27" s="24">
        <f t="shared" si="0"/>
        <v>0.45516236883048095</v>
      </c>
    </row>
    <row r="28" spans="2:6" ht="16.899999999999999" customHeight="1" x14ac:dyDescent="0.25">
      <c r="B28" s="1"/>
      <c r="C28" s="1"/>
      <c r="D28" s="1"/>
      <c r="E28" s="1"/>
      <c r="F28" s="24"/>
    </row>
    <row r="29" spans="2:6" x14ac:dyDescent="0.25">
      <c r="B29" s="1" t="s">
        <v>322</v>
      </c>
      <c r="C29" s="1" t="s">
        <v>261</v>
      </c>
      <c r="D29" s="1">
        <v>300</v>
      </c>
      <c r="E29" s="1">
        <v>360</v>
      </c>
      <c r="F29" s="24">
        <f t="shared" si="0"/>
        <v>9.930815319937766</v>
      </c>
    </row>
    <row r="30" spans="2:6" x14ac:dyDescent="0.25">
      <c r="B30" s="1" t="s">
        <v>323</v>
      </c>
      <c r="C30" s="1" t="s">
        <v>261</v>
      </c>
      <c r="D30" s="1">
        <v>950</v>
      </c>
      <c r="E30" s="1">
        <v>950</v>
      </c>
      <c r="F30" s="24">
        <f t="shared" si="0"/>
        <v>26.20631820539133</v>
      </c>
    </row>
    <row r="31" spans="2:6" x14ac:dyDescent="0.25">
      <c r="B31" s="1" t="s">
        <v>367</v>
      </c>
      <c r="C31" s="1" t="s">
        <v>265</v>
      </c>
      <c r="D31" s="1">
        <v>4</v>
      </c>
      <c r="E31" s="1">
        <v>14</v>
      </c>
      <c r="F31" s="24">
        <f t="shared" si="0"/>
        <v>0.38619837355313541</v>
      </c>
    </row>
    <row r="32" spans="2:6" x14ac:dyDescent="0.25">
      <c r="B32" s="1"/>
      <c r="C32" s="1"/>
      <c r="D32" s="1"/>
      <c r="E32" s="1"/>
      <c r="F32" s="24">
        <f t="shared" si="0"/>
        <v>0</v>
      </c>
    </row>
    <row r="33" spans="2:6" x14ac:dyDescent="0.25">
      <c r="B33" s="1"/>
      <c r="C33" s="1"/>
      <c r="D33" s="1"/>
      <c r="E33" s="1"/>
      <c r="F33" s="24">
        <f t="shared" si="0"/>
        <v>0</v>
      </c>
    </row>
    <row r="34" spans="2:6" x14ac:dyDescent="0.25">
      <c r="B34" s="1"/>
      <c r="C34" s="1"/>
      <c r="D34" s="1"/>
      <c r="E34" s="1"/>
      <c r="F34" s="24">
        <f t="shared" si="0"/>
        <v>0</v>
      </c>
    </row>
    <row r="35" spans="2:6" x14ac:dyDescent="0.25">
      <c r="B35" s="1"/>
      <c r="C35" s="1"/>
      <c r="D35" s="1"/>
      <c r="E35" s="1"/>
      <c r="F35" s="24">
        <f t="shared" si="0"/>
        <v>0</v>
      </c>
    </row>
    <row r="36" spans="2:6" x14ac:dyDescent="0.25">
      <c r="B36" s="1"/>
      <c r="C36" s="1"/>
      <c r="D36" s="1"/>
      <c r="E36" s="1"/>
      <c r="F36" s="24">
        <f t="shared" si="0"/>
        <v>0</v>
      </c>
    </row>
    <row r="37" spans="2:6" x14ac:dyDescent="0.25">
      <c r="B37" s="1"/>
      <c r="C37" s="1"/>
      <c r="D37" s="1"/>
      <c r="E37" s="1"/>
      <c r="F37" s="24">
        <f t="shared" si="0"/>
        <v>0</v>
      </c>
    </row>
    <row r="38" spans="2:6" x14ac:dyDescent="0.25">
      <c r="B38" s="10" t="s">
        <v>20</v>
      </c>
      <c r="C38" s="1"/>
      <c r="D38" s="1"/>
      <c r="E38" s="4">
        <f>SUM(E25:E37)</f>
        <v>1407.1</v>
      </c>
      <c r="F38" s="22">
        <f>SUM(F25:F37)</f>
        <v>38.815695101901198</v>
      </c>
    </row>
    <row r="39" spans="2:6" x14ac:dyDescent="0.25">
      <c r="B39" s="4" t="s">
        <v>22</v>
      </c>
      <c r="C39" s="6"/>
      <c r="D39" s="6"/>
      <c r="E39" s="6"/>
      <c r="F39" s="23">
        <f>F23+F38</f>
        <v>55.805695101901193</v>
      </c>
    </row>
    <row r="40" spans="2:6" x14ac:dyDescent="0.25">
      <c r="B40" s="7"/>
      <c r="C40" s="7"/>
      <c r="D40" s="7"/>
      <c r="E40" s="7"/>
      <c r="F40" s="7"/>
    </row>
    <row r="41" spans="2:6" x14ac:dyDescent="0.25">
      <c r="B41" s="13"/>
      <c r="C41" s="13"/>
      <c r="D41" s="13"/>
      <c r="E41" s="13"/>
      <c r="F41" s="13"/>
    </row>
    <row r="42" spans="2:6" x14ac:dyDescent="0.25">
      <c r="B42" s="13"/>
      <c r="C42" s="13"/>
      <c r="D42" s="13"/>
      <c r="E42" s="13"/>
      <c r="F42" s="13"/>
    </row>
    <row r="43" spans="2:6" x14ac:dyDescent="0.25">
      <c r="B43" s="39" t="s">
        <v>23</v>
      </c>
      <c r="C43" s="38"/>
      <c r="D43" s="38"/>
      <c r="E43" s="39" t="s">
        <v>24</v>
      </c>
      <c r="F43" s="38"/>
    </row>
    <row r="45" spans="2:6" ht="42.6" customHeight="1" x14ac:dyDescent="0.25">
      <c r="B45" s="37" t="s">
        <v>50</v>
      </c>
      <c r="C45" s="37"/>
      <c r="D45" s="37"/>
      <c r="E45" s="37"/>
      <c r="F45" s="37"/>
    </row>
    <row r="46" spans="2:6" ht="29.45" customHeight="1" x14ac:dyDescent="0.25">
      <c r="B46" s="37" t="s">
        <v>1</v>
      </c>
      <c r="C46" s="37"/>
      <c r="D46" s="37"/>
      <c r="E46" s="37"/>
      <c r="F46" s="37"/>
    </row>
    <row r="47" spans="2:6" x14ac:dyDescent="0.25">
      <c r="B47" s="14" t="s">
        <v>0</v>
      </c>
      <c r="C47" s="14"/>
      <c r="D47" s="14"/>
      <c r="E47" s="14"/>
      <c r="F47" s="14"/>
    </row>
    <row r="48" spans="2:6" x14ac:dyDescent="0.25">
      <c r="B48" s="12"/>
      <c r="C48" s="38" t="s">
        <v>25</v>
      </c>
      <c r="D48" s="38"/>
      <c r="E48" s="12">
        <v>1819.9</v>
      </c>
      <c r="F48" s="12" t="s">
        <v>26</v>
      </c>
    </row>
    <row r="50" spans="2:6" ht="60" x14ac:dyDescent="0.25">
      <c r="B50" s="1" t="s">
        <v>2</v>
      </c>
      <c r="C50" s="1" t="s">
        <v>4</v>
      </c>
      <c r="D50" s="1" t="s">
        <v>3</v>
      </c>
      <c r="E50" s="1" t="s">
        <v>447</v>
      </c>
      <c r="F50" s="1" t="s">
        <v>5</v>
      </c>
    </row>
    <row r="51" spans="2:6" x14ac:dyDescent="0.25">
      <c r="B51" s="1"/>
      <c r="C51" s="1"/>
      <c r="D51" s="1"/>
      <c r="E51" s="1"/>
      <c r="F51" s="1"/>
    </row>
    <row r="52" spans="2:6" x14ac:dyDescent="0.25">
      <c r="B52" s="3" t="s">
        <v>6</v>
      </c>
      <c r="C52" s="1"/>
      <c r="D52" s="1"/>
      <c r="E52" s="1"/>
      <c r="F52" s="1"/>
    </row>
    <row r="53" spans="2:6" x14ac:dyDescent="0.25">
      <c r="B53" s="5" t="s">
        <v>7</v>
      </c>
      <c r="C53" s="1"/>
      <c r="D53" s="1"/>
      <c r="E53" s="1"/>
      <c r="F53" s="5">
        <v>2.0099999999999998</v>
      </c>
    </row>
    <row r="54" spans="2:6" x14ac:dyDescent="0.25">
      <c r="B54" s="5" t="s">
        <v>8</v>
      </c>
      <c r="C54" s="1"/>
      <c r="D54" s="1"/>
      <c r="E54" s="1"/>
      <c r="F54" s="5">
        <v>5.34</v>
      </c>
    </row>
    <row r="55" spans="2:6" x14ac:dyDescent="0.25">
      <c r="B55" s="15" t="s">
        <v>30</v>
      </c>
      <c r="C55" s="1"/>
      <c r="D55" s="1"/>
      <c r="E55" s="1"/>
      <c r="F55" s="5">
        <v>0.06</v>
      </c>
    </row>
    <row r="56" spans="2:6" ht="24.75" x14ac:dyDescent="0.25">
      <c r="B56" s="5" t="s">
        <v>11</v>
      </c>
      <c r="C56" s="1"/>
      <c r="D56" s="1"/>
      <c r="E56" s="1"/>
      <c r="F56" s="5">
        <v>0.55000000000000004</v>
      </c>
    </row>
    <row r="57" spans="2:6" ht="24.75" x14ac:dyDescent="0.25">
      <c r="B57" s="5" t="s">
        <v>12</v>
      </c>
      <c r="C57" s="1"/>
      <c r="D57" s="1"/>
      <c r="E57" s="1"/>
      <c r="F57" s="5">
        <v>0.53</v>
      </c>
    </row>
    <row r="58" spans="2:6" ht="24.75" x14ac:dyDescent="0.25">
      <c r="B58" s="5" t="s">
        <v>13</v>
      </c>
      <c r="C58" s="1"/>
      <c r="D58" s="1"/>
      <c r="E58" s="1"/>
      <c r="F58" s="5">
        <v>0.19</v>
      </c>
    </row>
    <row r="59" spans="2:6" ht="24.75" x14ac:dyDescent="0.25">
      <c r="B59" s="5" t="s">
        <v>14</v>
      </c>
      <c r="C59" s="1"/>
      <c r="D59" s="1"/>
      <c r="E59" s="1"/>
      <c r="F59" s="5">
        <v>1.25</v>
      </c>
    </row>
    <row r="60" spans="2:6" ht="24.75" x14ac:dyDescent="0.25">
      <c r="B60" s="5" t="s">
        <v>9</v>
      </c>
      <c r="C60" s="1"/>
      <c r="D60" s="1"/>
      <c r="E60" s="1"/>
      <c r="F60" s="5">
        <v>0.26</v>
      </c>
    </row>
    <row r="61" spans="2:6" ht="24.75" x14ac:dyDescent="0.25">
      <c r="B61" s="5" t="s">
        <v>15</v>
      </c>
      <c r="C61" s="1"/>
      <c r="D61" s="1"/>
      <c r="E61" s="1"/>
      <c r="F61" s="5">
        <v>0.27</v>
      </c>
    </row>
    <row r="62" spans="2:6" ht="24.75" x14ac:dyDescent="0.25">
      <c r="B62" s="5" t="s">
        <v>16</v>
      </c>
      <c r="C62" s="1"/>
      <c r="D62" s="1"/>
      <c r="E62" s="1"/>
      <c r="F62" s="5">
        <v>0.28999999999999998</v>
      </c>
    </row>
    <row r="63" spans="2:6" x14ac:dyDescent="0.25">
      <c r="B63" s="5" t="s">
        <v>17</v>
      </c>
      <c r="C63" s="1"/>
      <c r="D63" s="1"/>
      <c r="E63" s="1"/>
      <c r="F63" s="5">
        <v>0.32</v>
      </c>
    </row>
    <row r="64" spans="2:6" x14ac:dyDescent="0.25">
      <c r="B64" s="5" t="s">
        <v>18</v>
      </c>
      <c r="C64" s="1"/>
      <c r="D64" s="1"/>
      <c r="E64" s="1"/>
      <c r="F64" s="5">
        <v>1.97</v>
      </c>
    </row>
    <row r="65" spans="2:6" x14ac:dyDescent="0.25">
      <c r="B65" s="5" t="s">
        <v>19</v>
      </c>
      <c r="C65" s="1"/>
      <c r="D65" s="1"/>
      <c r="E65" s="1"/>
      <c r="F65" s="5">
        <v>3.95</v>
      </c>
    </row>
    <row r="66" spans="2:6" x14ac:dyDescent="0.25">
      <c r="B66" s="10" t="s">
        <v>20</v>
      </c>
      <c r="C66" s="1"/>
      <c r="D66" s="1"/>
      <c r="E66" s="1"/>
      <c r="F66" s="4">
        <f>SUM(F53:F65)</f>
        <v>16.989999999999998</v>
      </c>
    </row>
    <row r="67" spans="2:6" x14ac:dyDescent="0.25">
      <c r="B67" s="3" t="s">
        <v>21</v>
      </c>
      <c r="C67" s="1"/>
      <c r="D67" s="1"/>
      <c r="E67" s="1"/>
      <c r="F67" s="1"/>
    </row>
    <row r="68" spans="2:6" x14ac:dyDescent="0.25">
      <c r="B68" s="1" t="s">
        <v>294</v>
      </c>
      <c r="C68" s="1" t="s">
        <v>26</v>
      </c>
      <c r="D68" s="1">
        <v>300</v>
      </c>
      <c r="E68" s="1">
        <v>150</v>
      </c>
      <c r="F68" s="24">
        <f>E68/1819.9*1000/12</f>
        <v>6.8685092587504792</v>
      </c>
    </row>
    <row r="69" spans="2:6" x14ac:dyDescent="0.25">
      <c r="B69" s="1" t="s">
        <v>317</v>
      </c>
      <c r="C69" s="1" t="s">
        <v>256</v>
      </c>
      <c r="D69" s="1">
        <v>1</v>
      </c>
      <c r="E69" s="1">
        <v>60</v>
      </c>
      <c r="F69" s="24">
        <f t="shared" ref="F69:F80" si="1">E69/1819.9*1000/12</f>
        <v>2.7474037035001921</v>
      </c>
    </row>
    <row r="70" spans="2:6" x14ac:dyDescent="0.25">
      <c r="B70" s="1" t="s">
        <v>369</v>
      </c>
      <c r="C70" s="1" t="s">
        <v>265</v>
      </c>
      <c r="D70" s="1">
        <v>0.33</v>
      </c>
      <c r="E70" s="1">
        <v>6.6</v>
      </c>
      <c r="F70" s="24">
        <f t="shared" si="1"/>
        <v>0.30221440738502114</v>
      </c>
    </row>
    <row r="71" spans="2:6" x14ac:dyDescent="0.25">
      <c r="B71" s="1" t="s">
        <v>370</v>
      </c>
      <c r="C71" s="1" t="s">
        <v>265</v>
      </c>
      <c r="D71" s="1">
        <v>3</v>
      </c>
      <c r="E71" s="1">
        <v>30</v>
      </c>
      <c r="F71" s="24">
        <f t="shared" si="1"/>
        <v>1.3737018517500961</v>
      </c>
    </row>
    <row r="72" spans="2:6" x14ac:dyDescent="0.25">
      <c r="B72" s="1" t="s">
        <v>334</v>
      </c>
      <c r="C72" s="1" t="s">
        <v>265</v>
      </c>
      <c r="D72" s="1">
        <v>2</v>
      </c>
      <c r="E72" s="1">
        <v>40</v>
      </c>
      <c r="F72" s="24">
        <f t="shared" si="1"/>
        <v>1.8316024690001285</v>
      </c>
    </row>
    <row r="73" spans="2:6" x14ac:dyDescent="0.25">
      <c r="B73" s="1" t="s">
        <v>318</v>
      </c>
      <c r="C73" s="1" t="s">
        <v>26</v>
      </c>
      <c r="D73" s="1">
        <v>170</v>
      </c>
      <c r="E73" s="1">
        <v>127.5</v>
      </c>
      <c r="F73" s="24">
        <f t="shared" si="1"/>
        <v>5.8382328699379089</v>
      </c>
    </row>
    <row r="74" spans="2:6" x14ac:dyDescent="0.25">
      <c r="B74" s="1" t="s">
        <v>371</v>
      </c>
      <c r="C74" s="1" t="s">
        <v>26</v>
      </c>
      <c r="D74" s="1">
        <v>100</v>
      </c>
      <c r="E74" s="1">
        <v>130</v>
      </c>
      <c r="F74" s="24">
        <f t="shared" si="1"/>
        <v>5.9527080242504162</v>
      </c>
    </row>
    <row r="75" spans="2:6" x14ac:dyDescent="0.25">
      <c r="B75" s="1" t="s">
        <v>321</v>
      </c>
      <c r="C75" s="1" t="s">
        <v>256</v>
      </c>
      <c r="D75" s="1">
        <v>2</v>
      </c>
      <c r="E75" s="1">
        <v>300</v>
      </c>
      <c r="F75" s="24">
        <f t="shared" si="1"/>
        <v>13.737018517500958</v>
      </c>
    </row>
    <row r="76" spans="2:6" x14ac:dyDescent="0.25">
      <c r="B76" s="1" t="s">
        <v>372</v>
      </c>
      <c r="C76" s="1" t="s">
        <v>261</v>
      </c>
      <c r="D76" s="1">
        <v>150</v>
      </c>
      <c r="E76" s="1">
        <v>180</v>
      </c>
      <c r="F76" s="24">
        <f t="shared" si="1"/>
        <v>8.2422111105005769</v>
      </c>
    </row>
    <row r="77" spans="2:6" x14ac:dyDescent="0.25">
      <c r="B77" s="1" t="s">
        <v>323</v>
      </c>
      <c r="C77" s="1" t="s">
        <v>261</v>
      </c>
      <c r="D77" s="1">
        <v>550</v>
      </c>
      <c r="E77" s="1">
        <v>550</v>
      </c>
      <c r="F77" s="24">
        <f t="shared" si="1"/>
        <v>25.184533948751763</v>
      </c>
    </row>
    <row r="78" spans="2:6" x14ac:dyDescent="0.25">
      <c r="B78" s="1" t="s">
        <v>366</v>
      </c>
      <c r="C78" s="1" t="s">
        <v>368</v>
      </c>
      <c r="D78" s="1">
        <v>0.33</v>
      </c>
      <c r="E78" s="1">
        <v>16.5</v>
      </c>
      <c r="F78" s="24">
        <f t="shared" si="1"/>
        <v>0.75553601846255292</v>
      </c>
    </row>
    <row r="79" spans="2:6" x14ac:dyDescent="0.25">
      <c r="B79" s="1"/>
      <c r="C79" s="1"/>
      <c r="D79" s="1"/>
      <c r="E79" s="1"/>
      <c r="F79" s="24">
        <f t="shared" si="1"/>
        <v>0</v>
      </c>
    </row>
    <row r="80" spans="2:6" x14ac:dyDescent="0.25">
      <c r="B80" s="1"/>
      <c r="C80" s="1"/>
      <c r="D80" s="1"/>
      <c r="E80" s="1"/>
      <c r="F80" s="24">
        <f t="shared" si="1"/>
        <v>0</v>
      </c>
    </row>
    <row r="81" spans="2:6" x14ac:dyDescent="0.25">
      <c r="B81" s="10" t="s">
        <v>20</v>
      </c>
      <c r="C81" s="1"/>
      <c r="D81" s="1"/>
      <c r="E81" s="4">
        <f>SUM(E68:E80)</f>
        <v>1590.6</v>
      </c>
      <c r="F81" s="22">
        <f>SUM(F68:F80)</f>
        <v>72.833672179790085</v>
      </c>
    </row>
    <row r="82" spans="2:6" x14ac:dyDescent="0.25">
      <c r="B82" s="4" t="s">
        <v>22</v>
      </c>
      <c r="C82" s="6"/>
      <c r="D82" s="6"/>
      <c r="E82" s="6"/>
      <c r="F82" s="23">
        <f>F66+F81</f>
        <v>89.82367217979008</v>
      </c>
    </row>
    <row r="83" spans="2:6" x14ac:dyDescent="0.25">
      <c r="B83" s="7"/>
      <c r="C83" s="7"/>
      <c r="D83" s="7"/>
      <c r="E83" s="7"/>
      <c r="F83" s="7"/>
    </row>
    <row r="84" spans="2:6" x14ac:dyDescent="0.25">
      <c r="B84" s="13"/>
      <c r="C84" s="13"/>
      <c r="D84" s="13"/>
      <c r="E84" s="13"/>
      <c r="F84" s="13"/>
    </row>
    <row r="85" spans="2:6" x14ac:dyDescent="0.25">
      <c r="B85" s="13"/>
      <c r="C85" s="13"/>
      <c r="D85" s="13"/>
      <c r="E85" s="13"/>
      <c r="F85" s="13"/>
    </row>
    <row r="86" spans="2:6" x14ac:dyDescent="0.25">
      <c r="B86" s="39" t="s">
        <v>23</v>
      </c>
      <c r="C86" s="38"/>
      <c r="D86" s="38"/>
      <c r="E86" s="39" t="s">
        <v>24</v>
      </c>
      <c r="F86" s="38"/>
    </row>
    <row r="88" spans="2:6" ht="32.450000000000003" customHeight="1" x14ac:dyDescent="0.25">
      <c r="B88" s="37" t="s">
        <v>51</v>
      </c>
      <c r="C88" s="37"/>
      <c r="D88" s="37"/>
      <c r="E88" s="37"/>
      <c r="F88" s="37"/>
    </row>
    <row r="89" spans="2:6" ht="33" customHeight="1" x14ac:dyDescent="0.25">
      <c r="B89" s="37" t="s">
        <v>1</v>
      </c>
      <c r="C89" s="37"/>
      <c r="D89" s="37"/>
      <c r="E89" s="37"/>
      <c r="F89" s="37"/>
    </row>
    <row r="90" spans="2:6" x14ac:dyDescent="0.25">
      <c r="B90" s="14" t="s">
        <v>0</v>
      </c>
      <c r="C90" s="14"/>
      <c r="D90" s="14"/>
      <c r="E90" s="14"/>
      <c r="F90" s="14"/>
    </row>
    <row r="91" spans="2:6" x14ac:dyDescent="0.25">
      <c r="B91" s="12"/>
      <c r="C91" s="38" t="s">
        <v>25</v>
      </c>
      <c r="D91" s="38"/>
      <c r="E91" s="12">
        <v>3868.9</v>
      </c>
      <c r="F91" s="12" t="s">
        <v>26</v>
      </c>
    </row>
    <row r="93" spans="2:6" ht="60" x14ac:dyDescent="0.25">
      <c r="B93" s="1" t="s">
        <v>2</v>
      </c>
      <c r="C93" s="1" t="s">
        <v>4</v>
      </c>
      <c r="D93" s="1" t="s">
        <v>3</v>
      </c>
      <c r="E93" s="1" t="s">
        <v>447</v>
      </c>
      <c r="F93" s="1" t="s">
        <v>5</v>
      </c>
    </row>
    <row r="94" spans="2:6" x14ac:dyDescent="0.25">
      <c r="B94" s="1"/>
      <c r="C94" s="1"/>
      <c r="D94" s="1"/>
      <c r="E94" s="1"/>
      <c r="F94" s="1"/>
    </row>
    <row r="95" spans="2:6" x14ac:dyDescent="0.25">
      <c r="B95" s="3" t="s">
        <v>6</v>
      </c>
      <c r="C95" s="1"/>
      <c r="D95" s="1"/>
      <c r="E95" s="1"/>
      <c r="F95" s="1"/>
    </row>
    <row r="96" spans="2:6" x14ac:dyDescent="0.25">
      <c r="B96" s="5" t="s">
        <v>7</v>
      </c>
      <c r="C96" s="1"/>
      <c r="D96" s="1"/>
      <c r="E96" s="1"/>
      <c r="F96" s="5">
        <v>2.0099999999999998</v>
      </c>
    </row>
    <row r="97" spans="2:6" x14ac:dyDescent="0.25">
      <c r="B97" s="5" t="s">
        <v>8</v>
      </c>
      <c r="C97" s="1"/>
      <c r="D97" s="1"/>
      <c r="E97" s="1"/>
      <c r="F97" s="5">
        <v>5.34</v>
      </c>
    </row>
    <row r="98" spans="2:6" x14ac:dyDescent="0.25">
      <c r="B98" s="15" t="s">
        <v>30</v>
      </c>
      <c r="C98" s="1"/>
      <c r="D98" s="1"/>
      <c r="E98" s="1"/>
      <c r="F98" s="5">
        <v>0.06</v>
      </c>
    </row>
    <row r="99" spans="2:6" ht="24.75" x14ac:dyDescent="0.25">
      <c r="B99" s="5" t="s">
        <v>11</v>
      </c>
      <c r="C99" s="1"/>
      <c r="D99" s="1"/>
      <c r="E99" s="1"/>
      <c r="F99" s="5">
        <v>0.55000000000000004</v>
      </c>
    </row>
    <row r="100" spans="2:6" ht="24.75" x14ac:dyDescent="0.25">
      <c r="B100" s="5" t="s">
        <v>12</v>
      </c>
      <c r="C100" s="1"/>
      <c r="D100" s="1"/>
      <c r="E100" s="1"/>
      <c r="F100" s="5">
        <v>0.53</v>
      </c>
    </row>
    <row r="101" spans="2:6" ht="24.75" x14ac:dyDescent="0.25">
      <c r="B101" s="5" t="s">
        <v>13</v>
      </c>
      <c r="C101" s="1"/>
      <c r="D101" s="1"/>
      <c r="E101" s="1"/>
      <c r="F101" s="5">
        <v>0.19</v>
      </c>
    </row>
    <row r="102" spans="2:6" ht="24.75" x14ac:dyDescent="0.25">
      <c r="B102" s="5" t="s">
        <v>14</v>
      </c>
      <c r="C102" s="1"/>
      <c r="D102" s="1"/>
      <c r="E102" s="1"/>
      <c r="F102" s="5">
        <v>1.25</v>
      </c>
    </row>
    <row r="103" spans="2:6" ht="24.75" x14ac:dyDescent="0.25">
      <c r="B103" s="5" t="s">
        <v>9</v>
      </c>
      <c r="C103" s="1"/>
      <c r="D103" s="1"/>
      <c r="E103" s="1"/>
      <c r="F103" s="5">
        <v>0.26</v>
      </c>
    </row>
    <row r="104" spans="2:6" ht="24.75" x14ac:dyDescent="0.25">
      <c r="B104" s="5" t="s">
        <v>15</v>
      </c>
      <c r="C104" s="1"/>
      <c r="D104" s="1"/>
      <c r="E104" s="1"/>
      <c r="F104" s="5">
        <v>0.27</v>
      </c>
    </row>
    <row r="105" spans="2:6" ht="24.75" x14ac:dyDescent="0.25">
      <c r="B105" s="5" t="s">
        <v>16</v>
      </c>
      <c r="C105" s="1"/>
      <c r="D105" s="1"/>
      <c r="E105" s="1"/>
      <c r="F105" s="5">
        <v>0.28999999999999998</v>
      </c>
    </row>
    <row r="106" spans="2:6" x14ac:dyDescent="0.25">
      <c r="B106" s="5" t="s">
        <v>17</v>
      </c>
      <c r="C106" s="1"/>
      <c r="D106" s="1"/>
      <c r="E106" s="1"/>
      <c r="F106" s="5">
        <v>0.32</v>
      </c>
    </row>
    <row r="107" spans="2:6" x14ac:dyDescent="0.25">
      <c r="B107" s="5" t="s">
        <v>18</v>
      </c>
      <c r="C107" s="1"/>
      <c r="D107" s="1"/>
      <c r="E107" s="1"/>
      <c r="F107" s="5">
        <v>1.97</v>
      </c>
    </row>
    <row r="108" spans="2:6" x14ac:dyDescent="0.25">
      <c r="B108" s="5" t="s">
        <v>19</v>
      </c>
      <c r="C108" s="1"/>
      <c r="D108" s="1"/>
      <c r="E108" s="1"/>
      <c r="F108" s="5">
        <v>3.95</v>
      </c>
    </row>
    <row r="109" spans="2:6" x14ac:dyDescent="0.25">
      <c r="B109" s="10" t="s">
        <v>20</v>
      </c>
      <c r="C109" s="1"/>
      <c r="D109" s="1"/>
      <c r="E109" s="1"/>
      <c r="F109" s="4">
        <f>SUM(F96:F108)</f>
        <v>16.989999999999998</v>
      </c>
    </row>
    <row r="110" spans="2:6" x14ac:dyDescent="0.25">
      <c r="B110" s="3" t="s">
        <v>21</v>
      </c>
      <c r="C110" s="1"/>
      <c r="D110" s="1"/>
      <c r="E110" s="1"/>
      <c r="F110" s="1"/>
    </row>
    <row r="111" spans="2:6" x14ac:dyDescent="0.25">
      <c r="B111" s="1" t="s">
        <v>373</v>
      </c>
      <c r="C111" s="1" t="s">
        <v>265</v>
      </c>
      <c r="D111" s="1">
        <v>2</v>
      </c>
      <c r="E111" s="1">
        <v>6.6</v>
      </c>
      <c r="F111" s="24">
        <f>E111/3868.9*1000/12</f>
        <v>0.14215927007676599</v>
      </c>
    </row>
    <row r="112" spans="2:6" x14ac:dyDescent="0.25">
      <c r="B112" s="1" t="s">
        <v>326</v>
      </c>
      <c r="C112" s="1" t="s">
        <v>26</v>
      </c>
      <c r="D112" s="1">
        <v>168</v>
      </c>
      <c r="E112" s="1">
        <v>42</v>
      </c>
      <c r="F112" s="24">
        <f t="shared" ref="F112:F123" si="2">E112/3868.9*1000/12</f>
        <v>0.90464990048851091</v>
      </c>
    </row>
    <row r="113" spans="2:6" x14ac:dyDescent="0.25">
      <c r="B113" s="1" t="s">
        <v>327</v>
      </c>
      <c r="C113" s="1" t="s">
        <v>261</v>
      </c>
      <c r="D113" s="1">
        <v>250</v>
      </c>
      <c r="E113" s="1">
        <v>80</v>
      </c>
      <c r="F113" s="24">
        <f t="shared" si="2"/>
        <v>1.7231426675971637</v>
      </c>
    </row>
    <row r="114" spans="2:6" x14ac:dyDescent="0.25">
      <c r="B114" s="1" t="s">
        <v>372</v>
      </c>
      <c r="C114" s="1" t="s">
        <v>261</v>
      </c>
      <c r="D114" s="1">
        <v>350</v>
      </c>
      <c r="E114" s="1">
        <v>420</v>
      </c>
      <c r="F114" s="24">
        <f t="shared" si="2"/>
        <v>9.0464990048851082</v>
      </c>
    </row>
    <row r="115" spans="2:6" x14ac:dyDescent="0.25">
      <c r="B115" s="1"/>
      <c r="C115" s="1"/>
      <c r="D115" s="1"/>
      <c r="E115" s="1"/>
      <c r="F115" s="24"/>
    </row>
    <row r="116" spans="2:6" x14ac:dyDescent="0.25">
      <c r="B116" s="1"/>
      <c r="C116" s="1"/>
      <c r="D116" s="1"/>
      <c r="E116" s="1"/>
      <c r="F116" s="24"/>
    </row>
    <row r="117" spans="2:6" x14ac:dyDescent="0.25">
      <c r="B117" s="1" t="s">
        <v>374</v>
      </c>
      <c r="C117" s="1" t="s">
        <v>261</v>
      </c>
      <c r="D117" s="1">
        <v>100</v>
      </c>
      <c r="E117" s="1">
        <v>130</v>
      </c>
      <c r="F117" s="24">
        <f t="shared" si="2"/>
        <v>2.8001068348453906</v>
      </c>
    </row>
    <row r="118" spans="2:6" x14ac:dyDescent="0.25">
      <c r="B118" s="1" t="s">
        <v>320</v>
      </c>
      <c r="C118" s="1" t="s">
        <v>261</v>
      </c>
      <c r="D118" s="1">
        <v>80</v>
      </c>
      <c r="E118" s="1">
        <v>152</v>
      </c>
      <c r="F118" s="24">
        <f t="shared" si="2"/>
        <v>3.2739710684346108</v>
      </c>
    </row>
    <row r="119" spans="2:6" x14ac:dyDescent="0.25">
      <c r="B119" s="1" t="s">
        <v>325</v>
      </c>
      <c r="C119" s="1" t="s">
        <v>261</v>
      </c>
      <c r="D119" s="1">
        <v>160</v>
      </c>
      <c r="E119" s="1">
        <v>304</v>
      </c>
      <c r="F119" s="24">
        <f t="shared" si="2"/>
        <v>6.5479421368692217</v>
      </c>
    </row>
    <row r="120" spans="2:6" x14ac:dyDescent="0.25">
      <c r="B120" s="1" t="s">
        <v>343</v>
      </c>
      <c r="C120" s="1" t="s">
        <v>256</v>
      </c>
      <c r="D120" s="1">
        <v>6</v>
      </c>
      <c r="E120" s="1">
        <v>900</v>
      </c>
      <c r="F120" s="24">
        <f t="shared" si="2"/>
        <v>19.385355010468093</v>
      </c>
    </row>
    <row r="121" spans="2:6" x14ac:dyDescent="0.25">
      <c r="B121" s="1" t="s">
        <v>366</v>
      </c>
      <c r="C121" s="1" t="s">
        <v>368</v>
      </c>
      <c r="D121" s="1">
        <v>0.33</v>
      </c>
      <c r="E121" s="1">
        <v>16.5</v>
      </c>
      <c r="F121" s="24">
        <f t="shared" si="2"/>
        <v>0.35539817519191502</v>
      </c>
    </row>
    <row r="122" spans="2:6" ht="28.5" customHeight="1" x14ac:dyDescent="0.25">
      <c r="B122" s="1"/>
      <c r="C122" s="1"/>
      <c r="D122" s="1"/>
      <c r="E122" s="1"/>
      <c r="F122" s="24"/>
    </row>
    <row r="123" spans="2:6" x14ac:dyDescent="0.25">
      <c r="B123" s="1" t="s">
        <v>375</v>
      </c>
      <c r="C123" s="1" t="s">
        <v>261</v>
      </c>
      <c r="D123" s="1">
        <v>850</v>
      </c>
      <c r="E123" s="1">
        <v>850</v>
      </c>
      <c r="F123" s="24">
        <f t="shared" si="2"/>
        <v>18.308390843219865</v>
      </c>
    </row>
    <row r="124" spans="2:6" x14ac:dyDescent="0.25">
      <c r="B124" s="10" t="s">
        <v>20</v>
      </c>
      <c r="C124" s="1"/>
      <c r="D124" s="1"/>
      <c r="E124" s="4">
        <f>SUM(E111:E123)</f>
        <v>2901.1</v>
      </c>
      <c r="F124" s="22">
        <f>SUM(F111:F123)</f>
        <v>62.487614912076637</v>
      </c>
    </row>
    <row r="125" spans="2:6" x14ac:dyDescent="0.25">
      <c r="B125" s="4" t="s">
        <v>22</v>
      </c>
      <c r="C125" s="6"/>
      <c r="D125" s="6"/>
      <c r="E125" s="6"/>
      <c r="F125" s="23">
        <f>F109+F124</f>
        <v>79.477614912076632</v>
      </c>
    </row>
    <row r="126" spans="2:6" x14ac:dyDescent="0.25">
      <c r="B126" s="7"/>
      <c r="C126" s="7"/>
      <c r="D126" s="7"/>
      <c r="E126" s="7"/>
      <c r="F126" s="7"/>
    </row>
    <row r="127" spans="2:6" x14ac:dyDescent="0.25">
      <c r="B127" s="13"/>
      <c r="C127" s="13"/>
      <c r="D127" s="13"/>
      <c r="E127" s="13"/>
      <c r="F127" s="13"/>
    </row>
    <row r="128" spans="2:6" x14ac:dyDescent="0.25">
      <c r="B128" s="13"/>
      <c r="C128" s="13"/>
      <c r="D128" s="13"/>
      <c r="E128" s="13"/>
      <c r="F128" s="13"/>
    </row>
    <row r="129" spans="2:6" x14ac:dyDescent="0.25">
      <c r="B129" s="39" t="s">
        <v>23</v>
      </c>
      <c r="C129" s="38"/>
      <c r="D129" s="38"/>
      <c r="E129" s="39" t="s">
        <v>24</v>
      </c>
      <c r="F129" s="38"/>
    </row>
    <row r="131" spans="2:6" ht="30.6" customHeight="1" x14ac:dyDescent="0.25">
      <c r="B131" s="37" t="s">
        <v>52</v>
      </c>
      <c r="C131" s="37"/>
      <c r="D131" s="37"/>
      <c r="E131" s="37"/>
      <c r="F131" s="37"/>
    </row>
    <row r="132" spans="2:6" ht="34.9" customHeight="1" x14ac:dyDescent="0.25">
      <c r="B132" s="37" t="s">
        <v>1</v>
      </c>
      <c r="C132" s="37"/>
      <c r="D132" s="37"/>
      <c r="E132" s="37"/>
      <c r="F132" s="37"/>
    </row>
    <row r="133" spans="2:6" x14ac:dyDescent="0.25">
      <c r="B133" s="14" t="s">
        <v>0</v>
      </c>
      <c r="C133" s="14"/>
      <c r="D133" s="14"/>
      <c r="E133" s="14"/>
      <c r="F133" s="14"/>
    </row>
    <row r="134" spans="2:6" x14ac:dyDescent="0.25">
      <c r="B134" s="12"/>
      <c r="C134" s="38" t="s">
        <v>25</v>
      </c>
      <c r="D134" s="38"/>
      <c r="E134" s="12">
        <v>1438.3</v>
      </c>
      <c r="F134" s="12" t="s">
        <v>26</v>
      </c>
    </row>
    <row r="136" spans="2:6" ht="60" x14ac:dyDescent="0.25">
      <c r="B136" s="1" t="s">
        <v>2</v>
      </c>
      <c r="C136" s="1" t="s">
        <v>4</v>
      </c>
      <c r="D136" s="1" t="s">
        <v>3</v>
      </c>
      <c r="E136" s="1" t="s">
        <v>447</v>
      </c>
      <c r="F136" s="1" t="s">
        <v>5</v>
      </c>
    </row>
    <row r="137" spans="2:6" x14ac:dyDescent="0.25">
      <c r="B137" s="1"/>
      <c r="C137" s="1"/>
      <c r="D137" s="1"/>
      <c r="E137" s="1"/>
      <c r="F137" s="1"/>
    </row>
    <row r="138" spans="2:6" x14ac:dyDescent="0.25">
      <c r="B138" s="3" t="s">
        <v>6</v>
      </c>
      <c r="C138" s="1"/>
      <c r="D138" s="1"/>
      <c r="E138" s="1"/>
      <c r="F138" s="1"/>
    </row>
    <row r="139" spans="2:6" x14ac:dyDescent="0.25">
      <c r="B139" s="5" t="s">
        <v>7</v>
      </c>
      <c r="C139" s="1"/>
      <c r="D139" s="1"/>
      <c r="E139" s="1"/>
      <c r="F139" s="5">
        <v>2.0099999999999998</v>
      </c>
    </row>
    <row r="140" spans="2:6" x14ac:dyDescent="0.25">
      <c r="B140" s="5" t="s">
        <v>8</v>
      </c>
      <c r="C140" s="1"/>
      <c r="D140" s="1"/>
      <c r="E140" s="1"/>
      <c r="F140" s="5">
        <v>5.34</v>
      </c>
    </row>
    <row r="141" spans="2:6" x14ac:dyDescent="0.25">
      <c r="B141" s="15" t="s">
        <v>30</v>
      </c>
      <c r="C141" s="1"/>
      <c r="D141" s="1"/>
      <c r="E141" s="1"/>
      <c r="F141" s="5">
        <v>0.06</v>
      </c>
    </row>
    <row r="142" spans="2:6" ht="24.75" x14ac:dyDescent="0.25">
      <c r="B142" s="5" t="s">
        <v>11</v>
      </c>
      <c r="C142" s="1"/>
      <c r="D142" s="1"/>
      <c r="E142" s="1"/>
      <c r="F142" s="5">
        <v>0.55000000000000004</v>
      </c>
    </row>
    <row r="143" spans="2:6" ht="24.75" x14ac:dyDescent="0.25">
      <c r="B143" s="5" t="s">
        <v>12</v>
      </c>
      <c r="C143" s="1"/>
      <c r="D143" s="1"/>
      <c r="E143" s="1"/>
      <c r="F143" s="5">
        <v>0.53</v>
      </c>
    </row>
    <row r="144" spans="2:6" ht="24.75" x14ac:dyDescent="0.25">
      <c r="B144" s="5" t="s">
        <v>13</v>
      </c>
      <c r="C144" s="1"/>
      <c r="D144" s="1"/>
      <c r="E144" s="1"/>
      <c r="F144" s="5">
        <v>0.19</v>
      </c>
    </row>
    <row r="145" spans="2:6" ht="24.75" x14ac:dyDescent="0.25">
      <c r="B145" s="5" t="s">
        <v>14</v>
      </c>
      <c r="C145" s="1"/>
      <c r="D145" s="1"/>
      <c r="E145" s="1"/>
      <c r="F145" s="5">
        <v>1.25</v>
      </c>
    </row>
    <row r="146" spans="2:6" ht="24.75" x14ac:dyDescent="0.25">
      <c r="B146" s="5" t="s">
        <v>9</v>
      </c>
      <c r="C146" s="1"/>
      <c r="D146" s="1"/>
      <c r="E146" s="1"/>
      <c r="F146" s="5">
        <v>0.26</v>
      </c>
    </row>
    <row r="147" spans="2:6" ht="24.75" x14ac:dyDescent="0.25">
      <c r="B147" s="5" t="s">
        <v>15</v>
      </c>
      <c r="C147" s="1"/>
      <c r="D147" s="1"/>
      <c r="E147" s="1"/>
      <c r="F147" s="5">
        <v>0.01</v>
      </c>
    </row>
    <row r="148" spans="2:6" ht="24.75" x14ac:dyDescent="0.25">
      <c r="B148" s="5" t="s">
        <v>16</v>
      </c>
      <c r="C148" s="1"/>
      <c r="D148" s="1"/>
      <c r="E148" s="1"/>
      <c r="F148" s="5">
        <v>0.28999999999999998</v>
      </c>
    </row>
    <row r="149" spans="2:6" x14ac:dyDescent="0.25">
      <c r="B149" s="5" t="s">
        <v>17</v>
      </c>
      <c r="C149" s="1"/>
      <c r="D149" s="1"/>
      <c r="E149" s="1"/>
      <c r="F149" s="5">
        <v>0.32</v>
      </c>
    </row>
    <row r="150" spans="2:6" x14ac:dyDescent="0.25">
      <c r="B150" s="5" t="s">
        <v>18</v>
      </c>
      <c r="C150" s="1"/>
      <c r="D150" s="1"/>
      <c r="E150" s="1"/>
      <c r="F150" s="5">
        <v>1.97</v>
      </c>
    </row>
    <row r="151" spans="2:6" x14ac:dyDescent="0.25">
      <c r="B151" s="5" t="s">
        <v>19</v>
      </c>
      <c r="C151" s="1"/>
      <c r="D151" s="1"/>
      <c r="E151" s="1"/>
      <c r="F151" s="5">
        <v>3.95</v>
      </c>
    </row>
    <row r="152" spans="2:6" x14ac:dyDescent="0.25">
      <c r="B152" s="10" t="s">
        <v>20</v>
      </c>
      <c r="C152" s="1"/>
      <c r="D152" s="1"/>
      <c r="E152" s="1"/>
      <c r="F152" s="4">
        <f>SUM(F139:F151)</f>
        <v>16.729999999999997</v>
      </c>
    </row>
    <row r="153" spans="2:6" x14ac:dyDescent="0.25">
      <c r="B153" s="3" t="s">
        <v>21</v>
      </c>
      <c r="C153" s="1"/>
      <c r="D153" s="1"/>
      <c r="E153" s="1"/>
      <c r="F153" s="1"/>
    </row>
    <row r="154" spans="2:6" x14ac:dyDescent="0.25">
      <c r="B154" s="1"/>
      <c r="C154" s="1"/>
      <c r="D154" s="1"/>
      <c r="E154" s="1"/>
      <c r="F154" s="24"/>
    </row>
    <row r="155" spans="2:6" x14ac:dyDescent="0.25">
      <c r="B155" s="1" t="s">
        <v>376</v>
      </c>
      <c r="C155" s="1" t="s">
        <v>26</v>
      </c>
      <c r="D155" s="1">
        <v>360</v>
      </c>
      <c r="E155" s="1">
        <v>540</v>
      </c>
      <c r="F155" s="24">
        <f t="shared" ref="F155:F166" si="3">E155/1438.3*1000/12</f>
        <v>31.286935966071059</v>
      </c>
    </row>
    <row r="156" spans="2:6" x14ac:dyDescent="0.25">
      <c r="B156" s="1" t="s">
        <v>356</v>
      </c>
      <c r="C156" s="1" t="s">
        <v>261</v>
      </c>
      <c r="D156" s="1">
        <v>40</v>
      </c>
      <c r="E156" s="1">
        <v>40</v>
      </c>
      <c r="F156" s="24">
        <f t="shared" si="3"/>
        <v>2.3175508123015596</v>
      </c>
    </row>
    <row r="157" spans="2:6" x14ac:dyDescent="0.25">
      <c r="B157" s="1" t="s">
        <v>272</v>
      </c>
      <c r="C157" s="1" t="s">
        <v>265</v>
      </c>
      <c r="D157" s="1">
        <v>1</v>
      </c>
      <c r="E157" s="1">
        <v>10</v>
      </c>
      <c r="F157" s="24">
        <f t="shared" si="3"/>
        <v>0.57938770307538989</v>
      </c>
    </row>
    <row r="158" spans="2:6" x14ac:dyDescent="0.25">
      <c r="B158" s="1" t="s">
        <v>330</v>
      </c>
      <c r="C158" s="1" t="s">
        <v>261</v>
      </c>
      <c r="D158" s="1">
        <v>60</v>
      </c>
      <c r="E158" s="1">
        <v>78</v>
      </c>
      <c r="F158" s="24">
        <f t="shared" si="3"/>
        <v>4.5192240839880418</v>
      </c>
    </row>
    <row r="159" spans="2:6" x14ac:dyDescent="0.25">
      <c r="B159" s="1" t="s">
        <v>319</v>
      </c>
      <c r="C159" s="1" t="s">
        <v>261</v>
      </c>
      <c r="D159" s="1">
        <v>75</v>
      </c>
      <c r="E159" s="1">
        <v>97.5</v>
      </c>
      <c r="F159" s="24">
        <f t="shared" si="3"/>
        <v>5.6490301049850524</v>
      </c>
    </row>
    <row r="160" spans="2:6" x14ac:dyDescent="0.25">
      <c r="B160" s="1" t="s">
        <v>320</v>
      </c>
      <c r="C160" s="1" t="s">
        <v>261</v>
      </c>
      <c r="D160" s="1">
        <v>40</v>
      </c>
      <c r="E160" s="1">
        <v>76</v>
      </c>
      <c r="F160" s="24">
        <f t="shared" si="3"/>
        <v>4.4033465433729635</v>
      </c>
    </row>
    <row r="161" spans="2:6" x14ac:dyDescent="0.25">
      <c r="B161" s="1" t="s">
        <v>325</v>
      </c>
      <c r="C161" s="1" t="s">
        <v>261</v>
      </c>
      <c r="D161" s="1">
        <v>73</v>
      </c>
      <c r="E161" s="1">
        <v>138.69999999999999</v>
      </c>
      <c r="F161" s="24">
        <f t="shared" si="3"/>
        <v>8.0361074416556573</v>
      </c>
    </row>
    <row r="162" spans="2:6" x14ac:dyDescent="0.25">
      <c r="B162" s="1" t="s">
        <v>322</v>
      </c>
      <c r="C162" s="1" t="s">
        <v>261</v>
      </c>
      <c r="D162" s="1">
        <v>160</v>
      </c>
      <c r="E162" s="1">
        <v>192</v>
      </c>
      <c r="F162" s="24">
        <f t="shared" si="3"/>
        <v>11.124243899047485</v>
      </c>
    </row>
    <row r="163" spans="2:6" x14ac:dyDescent="0.25">
      <c r="B163" s="1" t="s">
        <v>323</v>
      </c>
      <c r="C163" s="1" t="s">
        <v>261</v>
      </c>
      <c r="D163" s="1">
        <v>200</v>
      </c>
      <c r="E163" s="1">
        <v>200</v>
      </c>
      <c r="F163" s="24">
        <f t="shared" si="3"/>
        <v>11.5877540615078</v>
      </c>
    </row>
    <row r="164" spans="2:6" x14ac:dyDescent="0.25">
      <c r="B164" s="1"/>
      <c r="C164" s="1"/>
      <c r="D164" s="1"/>
      <c r="E164" s="1"/>
      <c r="F164" s="24">
        <f t="shared" si="3"/>
        <v>0</v>
      </c>
    </row>
    <row r="165" spans="2:6" x14ac:dyDescent="0.25">
      <c r="B165" s="1"/>
      <c r="C165" s="1"/>
      <c r="D165" s="1"/>
      <c r="E165" s="1"/>
      <c r="F165" s="24">
        <f t="shared" si="3"/>
        <v>0</v>
      </c>
    </row>
    <row r="166" spans="2:6" x14ac:dyDescent="0.25">
      <c r="B166" s="1"/>
      <c r="C166" s="1"/>
      <c r="D166" s="1"/>
      <c r="E166" s="1"/>
      <c r="F166" s="24">
        <f t="shared" si="3"/>
        <v>0</v>
      </c>
    </row>
    <row r="167" spans="2:6" x14ac:dyDescent="0.25">
      <c r="B167" s="10" t="s">
        <v>20</v>
      </c>
      <c r="C167" s="1"/>
      <c r="D167" s="1"/>
      <c r="E167" s="4">
        <f>SUM(E154:E166)</f>
        <v>1372.2</v>
      </c>
      <c r="F167" s="22">
        <f>SUM(F154:F166)</f>
        <v>79.50358061600501</v>
      </c>
    </row>
    <row r="168" spans="2:6" x14ac:dyDescent="0.25">
      <c r="B168" s="4" t="s">
        <v>22</v>
      </c>
      <c r="C168" s="6"/>
      <c r="D168" s="6"/>
      <c r="E168" s="6"/>
      <c r="F168" s="23">
        <f>F152+F167</f>
        <v>96.233580616005014</v>
      </c>
    </row>
    <row r="169" spans="2:6" x14ac:dyDescent="0.25">
      <c r="B169" s="7"/>
      <c r="C169" s="7"/>
      <c r="D169" s="7"/>
      <c r="E169" s="7"/>
      <c r="F169" s="7"/>
    </row>
    <row r="170" spans="2:6" x14ac:dyDescent="0.25">
      <c r="B170" s="13"/>
      <c r="C170" s="13"/>
      <c r="D170" s="13"/>
      <c r="E170" s="13"/>
      <c r="F170" s="13"/>
    </row>
    <row r="171" spans="2:6" x14ac:dyDescent="0.25">
      <c r="B171" s="13"/>
      <c r="C171" s="13"/>
      <c r="D171" s="13"/>
      <c r="E171" s="13"/>
      <c r="F171" s="13"/>
    </row>
    <row r="172" spans="2:6" x14ac:dyDescent="0.25">
      <c r="B172" s="39" t="s">
        <v>23</v>
      </c>
      <c r="C172" s="38"/>
      <c r="D172" s="38"/>
      <c r="E172" s="39" t="s">
        <v>24</v>
      </c>
      <c r="F172" s="38"/>
    </row>
    <row r="174" spans="2:6" ht="31.15" customHeight="1" x14ac:dyDescent="0.25">
      <c r="B174" s="37" t="s">
        <v>53</v>
      </c>
      <c r="C174" s="37"/>
      <c r="D174" s="37"/>
      <c r="E174" s="37"/>
      <c r="F174" s="37"/>
    </row>
    <row r="175" spans="2:6" ht="32.450000000000003" customHeight="1" x14ac:dyDescent="0.25">
      <c r="B175" s="37" t="s">
        <v>1</v>
      </c>
      <c r="C175" s="37"/>
      <c r="D175" s="37"/>
      <c r="E175" s="37"/>
      <c r="F175" s="37"/>
    </row>
    <row r="176" spans="2:6" x14ac:dyDescent="0.25">
      <c r="B176" s="14" t="s">
        <v>0</v>
      </c>
      <c r="C176" s="14"/>
      <c r="D176" s="14"/>
      <c r="E176" s="14"/>
      <c r="F176" s="14"/>
    </row>
    <row r="177" spans="2:6" x14ac:dyDescent="0.25">
      <c r="B177" s="12"/>
      <c r="C177" s="38" t="s">
        <v>25</v>
      </c>
      <c r="D177" s="38"/>
      <c r="E177" s="12">
        <v>1178.0999999999999</v>
      </c>
      <c r="F177" s="12" t="s">
        <v>26</v>
      </c>
    </row>
    <row r="179" spans="2:6" ht="60" x14ac:dyDescent="0.25">
      <c r="B179" s="1" t="s">
        <v>2</v>
      </c>
      <c r="C179" s="1" t="s">
        <v>4</v>
      </c>
      <c r="D179" s="1" t="s">
        <v>3</v>
      </c>
      <c r="E179" s="1" t="s">
        <v>447</v>
      </c>
      <c r="F179" s="1" t="s">
        <v>5</v>
      </c>
    </row>
    <row r="180" spans="2:6" x14ac:dyDescent="0.25">
      <c r="B180" s="1"/>
      <c r="C180" s="1"/>
      <c r="D180" s="1"/>
      <c r="E180" s="1"/>
      <c r="F180" s="1"/>
    </row>
    <row r="181" spans="2:6" x14ac:dyDescent="0.25">
      <c r="B181" s="3" t="s">
        <v>6</v>
      </c>
      <c r="C181" s="1"/>
      <c r="D181" s="1"/>
      <c r="E181" s="1"/>
      <c r="F181" s="1"/>
    </row>
    <row r="182" spans="2:6" x14ac:dyDescent="0.25">
      <c r="B182" s="5" t="s">
        <v>7</v>
      </c>
      <c r="C182" s="1"/>
      <c r="D182" s="1"/>
      <c r="E182" s="1"/>
      <c r="F182" s="5">
        <v>2.0099999999999998</v>
      </c>
    </row>
    <row r="183" spans="2:6" x14ac:dyDescent="0.25">
      <c r="B183" s="5" t="s">
        <v>8</v>
      </c>
      <c r="C183" s="1"/>
      <c r="D183" s="1"/>
      <c r="E183" s="1"/>
      <c r="F183" s="5">
        <v>5.34</v>
      </c>
    </row>
    <row r="184" spans="2:6" ht="24.75" x14ac:dyDescent="0.25">
      <c r="B184" s="5" t="s">
        <v>11</v>
      </c>
      <c r="C184" s="1"/>
      <c r="D184" s="1"/>
      <c r="E184" s="1"/>
      <c r="F184" s="5">
        <v>0.55000000000000004</v>
      </c>
    </row>
    <row r="185" spans="2:6" ht="24.75" x14ac:dyDescent="0.25">
      <c r="B185" s="5" t="s">
        <v>12</v>
      </c>
      <c r="C185" s="1"/>
      <c r="D185" s="1"/>
      <c r="E185" s="1"/>
      <c r="F185" s="5">
        <v>0.53</v>
      </c>
    </row>
    <row r="186" spans="2:6" ht="24.75" x14ac:dyDescent="0.25">
      <c r="B186" s="5" t="s">
        <v>13</v>
      </c>
      <c r="C186" s="1"/>
      <c r="D186" s="1"/>
      <c r="E186" s="1"/>
      <c r="F186" s="5">
        <v>0.19</v>
      </c>
    </row>
    <row r="187" spans="2:6" ht="24.75" x14ac:dyDescent="0.25">
      <c r="B187" s="5" t="s">
        <v>14</v>
      </c>
      <c r="C187" s="1"/>
      <c r="D187" s="1"/>
      <c r="E187" s="1"/>
      <c r="F187" s="5">
        <v>1.25</v>
      </c>
    </row>
    <row r="188" spans="2:6" ht="24.75" x14ac:dyDescent="0.25">
      <c r="B188" s="5" t="s">
        <v>9</v>
      </c>
      <c r="C188" s="1"/>
      <c r="D188" s="1"/>
      <c r="E188" s="1"/>
      <c r="F188" s="5">
        <v>0.26</v>
      </c>
    </row>
    <row r="189" spans="2:6" ht="24.75" x14ac:dyDescent="0.25">
      <c r="B189" s="5" t="s">
        <v>15</v>
      </c>
      <c r="C189" s="1"/>
      <c r="D189" s="1"/>
      <c r="E189" s="1"/>
      <c r="F189" s="5">
        <v>0.27</v>
      </c>
    </row>
    <row r="190" spans="2:6" ht="24.75" x14ac:dyDescent="0.25">
      <c r="B190" s="5" t="s">
        <v>16</v>
      </c>
      <c r="C190" s="1"/>
      <c r="D190" s="1"/>
      <c r="E190" s="1"/>
      <c r="F190" s="5">
        <v>0.28999999999999998</v>
      </c>
    </row>
    <row r="191" spans="2:6" x14ac:dyDescent="0.25">
      <c r="B191" s="5" t="s">
        <v>17</v>
      </c>
      <c r="C191" s="1"/>
      <c r="D191" s="1"/>
      <c r="E191" s="1"/>
      <c r="F191" s="5">
        <v>0.32</v>
      </c>
    </row>
    <row r="192" spans="2:6" x14ac:dyDescent="0.25">
      <c r="B192" s="5" t="s">
        <v>18</v>
      </c>
      <c r="C192" s="1"/>
      <c r="D192" s="1"/>
      <c r="E192" s="1"/>
      <c r="F192" s="5">
        <v>1.97</v>
      </c>
    </row>
    <row r="193" spans="2:6" x14ac:dyDescent="0.25">
      <c r="B193" s="5" t="s">
        <v>19</v>
      </c>
      <c r="C193" s="1"/>
      <c r="D193" s="1"/>
      <c r="E193" s="1"/>
      <c r="F193" s="5">
        <v>3.95</v>
      </c>
    </row>
    <row r="194" spans="2:6" x14ac:dyDescent="0.25">
      <c r="B194" s="10" t="s">
        <v>20</v>
      </c>
      <c r="C194" s="1"/>
      <c r="D194" s="1"/>
      <c r="E194" s="1"/>
      <c r="F194" s="4">
        <f>SUM(F182:F193)</f>
        <v>16.93</v>
      </c>
    </row>
    <row r="195" spans="2:6" x14ac:dyDescent="0.25">
      <c r="B195" s="3" t="s">
        <v>21</v>
      </c>
      <c r="C195" s="1"/>
      <c r="D195" s="1"/>
      <c r="E195" s="1"/>
      <c r="F195" s="1"/>
    </row>
    <row r="196" spans="2:6" x14ac:dyDescent="0.25">
      <c r="B196" s="1" t="s">
        <v>317</v>
      </c>
      <c r="C196" s="1" t="s">
        <v>265</v>
      </c>
      <c r="D196" s="1">
        <v>2</v>
      </c>
      <c r="E196" s="1">
        <v>90</v>
      </c>
      <c r="F196" s="24">
        <f>E196/1178.1*1000/12</f>
        <v>6.3661828367710731</v>
      </c>
    </row>
    <row r="197" spans="2:6" x14ac:dyDescent="0.25">
      <c r="B197" s="1"/>
      <c r="C197" s="1"/>
      <c r="D197" s="1"/>
      <c r="E197" s="1"/>
      <c r="F197" s="24"/>
    </row>
    <row r="198" spans="2:6" x14ac:dyDescent="0.25">
      <c r="B198" s="1" t="s">
        <v>335</v>
      </c>
      <c r="C198" s="1" t="s">
        <v>26</v>
      </c>
      <c r="D198" s="1">
        <v>5</v>
      </c>
      <c r="E198" s="1">
        <v>3</v>
      </c>
      <c r="F198" s="24">
        <f t="shared" ref="F198:F208" si="4">E198/1178.1*1000/12</f>
        <v>0.21220609455903575</v>
      </c>
    </row>
    <row r="199" spans="2:6" x14ac:dyDescent="0.25">
      <c r="B199" s="1" t="s">
        <v>362</v>
      </c>
      <c r="C199" s="1" t="s">
        <v>26</v>
      </c>
      <c r="D199" s="1">
        <v>2.7</v>
      </c>
      <c r="E199" s="1">
        <v>6.75</v>
      </c>
      <c r="F199" s="24">
        <f t="shared" si="4"/>
        <v>0.47746371275783045</v>
      </c>
    </row>
    <row r="200" spans="2:6" x14ac:dyDescent="0.25">
      <c r="B200" s="1"/>
      <c r="C200" s="1"/>
      <c r="D200" s="1"/>
      <c r="E200" s="1"/>
      <c r="F200" s="24">
        <f t="shared" si="4"/>
        <v>0</v>
      </c>
    </row>
    <row r="201" spans="2:6" x14ac:dyDescent="0.25">
      <c r="B201" s="1"/>
      <c r="C201" s="1"/>
      <c r="D201" s="1"/>
      <c r="E201" s="1"/>
      <c r="F201" s="24">
        <f t="shared" si="4"/>
        <v>0</v>
      </c>
    </row>
    <row r="202" spans="2:6" x14ac:dyDescent="0.25">
      <c r="B202" s="1"/>
      <c r="C202" s="1"/>
      <c r="D202" s="1"/>
      <c r="E202" s="1"/>
      <c r="F202" s="24">
        <f t="shared" si="4"/>
        <v>0</v>
      </c>
    </row>
    <row r="203" spans="2:6" x14ac:dyDescent="0.25">
      <c r="B203" s="1"/>
      <c r="C203" s="1"/>
      <c r="D203" s="1"/>
      <c r="E203" s="1"/>
      <c r="F203" s="24">
        <f t="shared" si="4"/>
        <v>0</v>
      </c>
    </row>
    <row r="204" spans="2:6" x14ac:dyDescent="0.25">
      <c r="B204" s="1"/>
      <c r="C204" s="1"/>
      <c r="D204" s="1"/>
      <c r="E204" s="1"/>
      <c r="F204" s="24">
        <f t="shared" si="4"/>
        <v>0</v>
      </c>
    </row>
    <row r="205" spans="2:6" x14ac:dyDescent="0.25">
      <c r="B205" s="1"/>
      <c r="C205" s="1"/>
      <c r="D205" s="1"/>
      <c r="E205" s="1"/>
      <c r="F205" s="24">
        <f t="shared" si="4"/>
        <v>0</v>
      </c>
    </row>
    <row r="206" spans="2:6" x14ac:dyDescent="0.25">
      <c r="B206" s="1"/>
      <c r="C206" s="1"/>
      <c r="D206" s="1"/>
      <c r="E206" s="1"/>
      <c r="F206" s="24">
        <f t="shared" si="4"/>
        <v>0</v>
      </c>
    </row>
    <row r="207" spans="2:6" x14ac:dyDescent="0.25">
      <c r="B207" s="1"/>
      <c r="C207" s="1"/>
      <c r="D207" s="1"/>
      <c r="E207" s="1"/>
      <c r="F207" s="24">
        <f t="shared" si="4"/>
        <v>0</v>
      </c>
    </row>
    <row r="208" spans="2:6" x14ac:dyDescent="0.25">
      <c r="B208" s="1"/>
      <c r="C208" s="1"/>
      <c r="D208" s="1"/>
      <c r="E208" s="1"/>
      <c r="F208" s="24">
        <f t="shared" si="4"/>
        <v>0</v>
      </c>
    </row>
    <row r="209" spans="2:6" x14ac:dyDescent="0.25">
      <c r="B209" s="10" t="s">
        <v>20</v>
      </c>
      <c r="C209" s="1"/>
      <c r="D209" s="1"/>
      <c r="E209" s="4">
        <f>SUM(E196:E208)</f>
        <v>99.75</v>
      </c>
      <c r="F209" s="22">
        <f>SUM(F196:F208)</f>
        <v>7.0558526440879392</v>
      </c>
    </row>
    <row r="210" spans="2:6" x14ac:dyDescent="0.25">
      <c r="B210" s="4" t="s">
        <v>22</v>
      </c>
      <c r="C210" s="6"/>
      <c r="D210" s="6"/>
      <c r="E210" s="6"/>
      <c r="F210" s="23">
        <f>F194+F209</f>
        <v>23.985852644087938</v>
      </c>
    </row>
    <row r="211" spans="2:6" x14ac:dyDescent="0.25">
      <c r="B211" s="7"/>
      <c r="C211" s="7"/>
      <c r="D211" s="7"/>
      <c r="E211" s="7"/>
      <c r="F211" s="7"/>
    </row>
    <row r="212" spans="2:6" x14ac:dyDescent="0.25">
      <c r="B212" s="13"/>
      <c r="C212" s="13"/>
      <c r="D212" s="13"/>
      <c r="E212" s="13"/>
      <c r="F212" s="13"/>
    </row>
    <row r="213" spans="2:6" x14ac:dyDescent="0.25">
      <c r="B213" s="13"/>
      <c r="C213" s="13"/>
      <c r="D213" s="13"/>
      <c r="E213" s="13"/>
      <c r="F213" s="13"/>
    </row>
    <row r="214" spans="2:6" x14ac:dyDescent="0.25">
      <c r="B214" s="39" t="s">
        <v>23</v>
      </c>
      <c r="C214" s="38"/>
      <c r="D214" s="38"/>
      <c r="E214" s="39" t="s">
        <v>24</v>
      </c>
      <c r="F214" s="38"/>
    </row>
    <row r="216" spans="2:6" ht="28.9" customHeight="1" x14ac:dyDescent="0.25">
      <c r="B216" s="37" t="s">
        <v>54</v>
      </c>
      <c r="C216" s="37"/>
      <c r="D216" s="37"/>
      <c r="E216" s="37"/>
      <c r="F216" s="37"/>
    </row>
    <row r="217" spans="2:6" ht="31.15" customHeight="1" x14ac:dyDescent="0.25">
      <c r="B217" s="37" t="s">
        <v>1</v>
      </c>
      <c r="C217" s="37"/>
      <c r="D217" s="37"/>
      <c r="E217" s="37"/>
      <c r="F217" s="37"/>
    </row>
    <row r="218" spans="2:6" x14ac:dyDescent="0.25">
      <c r="B218" s="14" t="s">
        <v>0</v>
      </c>
      <c r="C218" s="14"/>
      <c r="D218" s="14"/>
      <c r="E218" s="14"/>
      <c r="F218" s="14"/>
    </row>
    <row r="219" spans="2:6" x14ac:dyDescent="0.25">
      <c r="B219" s="12"/>
      <c r="C219" s="38" t="s">
        <v>25</v>
      </c>
      <c r="D219" s="38"/>
      <c r="E219" s="12">
        <v>1965.7</v>
      </c>
      <c r="F219" s="12" t="s">
        <v>26</v>
      </c>
    </row>
    <row r="221" spans="2:6" ht="60" x14ac:dyDescent="0.25">
      <c r="B221" s="1" t="s">
        <v>2</v>
      </c>
      <c r="C221" s="1" t="s">
        <v>4</v>
      </c>
      <c r="D221" s="1" t="s">
        <v>3</v>
      </c>
      <c r="E221" s="1" t="s">
        <v>447</v>
      </c>
      <c r="F221" s="1" t="s">
        <v>5</v>
      </c>
    </row>
    <row r="222" spans="2:6" x14ac:dyDescent="0.25">
      <c r="B222" s="1"/>
      <c r="C222" s="1"/>
      <c r="D222" s="1"/>
      <c r="E222" s="1"/>
      <c r="F222" s="1"/>
    </row>
    <row r="223" spans="2:6" x14ac:dyDescent="0.25">
      <c r="B223" s="3" t="s">
        <v>6</v>
      </c>
      <c r="C223" s="1"/>
      <c r="D223" s="1"/>
      <c r="E223" s="1"/>
      <c r="F223" s="1"/>
    </row>
    <row r="224" spans="2:6" x14ac:dyDescent="0.25">
      <c r="B224" s="5" t="s">
        <v>7</v>
      </c>
      <c r="C224" s="1"/>
      <c r="D224" s="1"/>
      <c r="E224" s="1"/>
      <c r="F224" s="5">
        <v>2.0099999999999998</v>
      </c>
    </row>
    <row r="225" spans="2:6" x14ac:dyDescent="0.25">
      <c r="B225" s="5" t="s">
        <v>8</v>
      </c>
      <c r="C225" s="1"/>
      <c r="D225" s="1"/>
      <c r="E225" s="1"/>
      <c r="F225" s="5">
        <v>5.34</v>
      </c>
    </row>
    <row r="226" spans="2:6" ht="24.75" x14ac:dyDescent="0.25">
      <c r="B226" s="5" t="s">
        <v>11</v>
      </c>
      <c r="C226" s="1"/>
      <c r="D226" s="1"/>
      <c r="E226" s="1"/>
      <c r="F226" s="5">
        <v>0.55000000000000004</v>
      </c>
    </row>
    <row r="227" spans="2:6" ht="24.75" x14ac:dyDescent="0.25">
      <c r="B227" s="5" t="s">
        <v>12</v>
      </c>
      <c r="C227" s="1"/>
      <c r="D227" s="1"/>
      <c r="E227" s="1"/>
      <c r="F227" s="5">
        <v>0.53</v>
      </c>
    </row>
    <row r="228" spans="2:6" ht="24.75" x14ac:dyDescent="0.25">
      <c r="B228" s="5" t="s">
        <v>13</v>
      </c>
      <c r="C228" s="1"/>
      <c r="D228" s="1"/>
      <c r="E228" s="1"/>
      <c r="F228" s="5">
        <v>0.19</v>
      </c>
    </row>
    <row r="229" spans="2:6" ht="24.75" x14ac:dyDescent="0.25">
      <c r="B229" s="5" t="s">
        <v>14</v>
      </c>
      <c r="C229" s="1"/>
      <c r="D229" s="1"/>
      <c r="E229" s="1"/>
      <c r="F229" s="5">
        <v>1.25</v>
      </c>
    </row>
    <row r="230" spans="2:6" ht="24.75" x14ac:dyDescent="0.25">
      <c r="B230" s="5" t="s">
        <v>9</v>
      </c>
      <c r="C230" s="1"/>
      <c r="D230" s="1"/>
      <c r="E230" s="1"/>
      <c r="F230" s="5">
        <v>0.26</v>
      </c>
    </row>
    <row r="231" spans="2:6" ht="24.75" x14ac:dyDescent="0.25">
      <c r="B231" s="5" t="s">
        <v>15</v>
      </c>
      <c r="C231" s="1"/>
      <c r="D231" s="1"/>
      <c r="E231" s="1"/>
      <c r="F231" s="5">
        <v>0.27</v>
      </c>
    </row>
    <row r="232" spans="2:6" ht="24.75" x14ac:dyDescent="0.25">
      <c r="B232" s="5" t="s">
        <v>16</v>
      </c>
      <c r="C232" s="1"/>
      <c r="D232" s="1"/>
      <c r="E232" s="1"/>
      <c r="F232" s="5">
        <v>0.28999999999999998</v>
      </c>
    </row>
    <row r="233" spans="2:6" x14ac:dyDescent="0.25">
      <c r="B233" s="5" t="s">
        <v>17</v>
      </c>
      <c r="C233" s="1"/>
      <c r="D233" s="1"/>
      <c r="E233" s="1"/>
      <c r="F233" s="5">
        <v>0.32</v>
      </c>
    </row>
    <row r="234" spans="2:6" x14ac:dyDescent="0.25">
      <c r="B234" s="5" t="s">
        <v>18</v>
      </c>
      <c r="C234" s="1"/>
      <c r="D234" s="1"/>
      <c r="E234" s="1"/>
      <c r="F234" s="5">
        <v>1.97</v>
      </c>
    </row>
    <row r="235" spans="2:6" x14ac:dyDescent="0.25">
      <c r="B235" s="5" t="s">
        <v>19</v>
      </c>
      <c r="C235" s="1"/>
      <c r="D235" s="1"/>
      <c r="E235" s="1"/>
      <c r="F235" s="5">
        <v>3.95</v>
      </c>
    </row>
    <row r="236" spans="2:6" x14ac:dyDescent="0.25">
      <c r="B236" s="10" t="s">
        <v>20</v>
      </c>
      <c r="C236" s="1"/>
      <c r="D236" s="1"/>
      <c r="E236" s="1"/>
      <c r="F236" s="4">
        <f>SUM(F224:F235)</f>
        <v>16.93</v>
      </c>
    </row>
    <row r="237" spans="2:6" x14ac:dyDescent="0.25">
      <c r="B237" s="3" t="s">
        <v>21</v>
      </c>
      <c r="C237" s="1"/>
      <c r="D237" s="1"/>
      <c r="E237" s="1"/>
      <c r="F237" s="1"/>
    </row>
    <row r="238" spans="2:6" x14ac:dyDescent="0.25">
      <c r="B238" s="1" t="s">
        <v>363</v>
      </c>
      <c r="C238" s="1" t="s">
        <v>256</v>
      </c>
      <c r="D238" s="1">
        <v>1</v>
      </c>
      <c r="E238" s="1">
        <v>45</v>
      </c>
      <c r="F238" s="24">
        <f>E238/1965.7*1000/12</f>
        <v>1.9077173525970392</v>
      </c>
    </row>
    <row r="239" spans="2:6" x14ac:dyDescent="0.25">
      <c r="B239" s="1" t="s">
        <v>326</v>
      </c>
      <c r="C239" s="1" t="s">
        <v>26</v>
      </c>
      <c r="D239" s="1">
        <v>590</v>
      </c>
      <c r="E239" s="1">
        <v>885</v>
      </c>
      <c r="F239" s="24">
        <f t="shared" ref="F239:F249" si="5">E239/1965.7*1000/12</f>
        <v>37.518441267741771</v>
      </c>
    </row>
    <row r="240" spans="2:6" x14ac:dyDescent="0.25">
      <c r="B240" s="1" t="s">
        <v>275</v>
      </c>
      <c r="C240" s="1" t="s">
        <v>26</v>
      </c>
      <c r="D240" s="1">
        <v>120</v>
      </c>
      <c r="E240" s="1">
        <v>180</v>
      </c>
      <c r="F240" s="24">
        <f t="shared" si="5"/>
        <v>7.6308694103881569</v>
      </c>
    </row>
    <row r="241" spans="2:6" x14ac:dyDescent="0.25">
      <c r="B241" s="1" t="s">
        <v>329</v>
      </c>
      <c r="C241" s="1" t="s">
        <v>26</v>
      </c>
      <c r="D241" s="1">
        <v>40</v>
      </c>
      <c r="E241" s="1">
        <v>48</v>
      </c>
      <c r="F241" s="24">
        <f t="shared" si="5"/>
        <v>2.0348985094368417</v>
      </c>
    </row>
    <row r="242" spans="2:6" x14ac:dyDescent="0.25">
      <c r="B242" s="1" t="s">
        <v>322</v>
      </c>
      <c r="C242" s="1" t="s">
        <v>261</v>
      </c>
      <c r="D242" s="1">
        <v>370</v>
      </c>
      <c r="E242" s="1">
        <v>444</v>
      </c>
      <c r="F242" s="24">
        <f t="shared" si="5"/>
        <v>18.822811212290787</v>
      </c>
    </row>
    <row r="243" spans="2:6" x14ac:dyDescent="0.25">
      <c r="B243" s="1" t="s">
        <v>323</v>
      </c>
      <c r="C243" s="1" t="s">
        <v>261</v>
      </c>
      <c r="D243" s="1">
        <v>850</v>
      </c>
      <c r="E243" s="1">
        <v>850</v>
      </c>
      <c r="F243" s="24">
        <f t="shared" si="5"/>
        <v>36.034661104610741</v>
      </c>
    </row>
    <row r="244" spans="2:6" x14ac:dyDescent="0.25">
      <c r="B244" s="1"/>
      <c r="C244" s="1"/>
      <c r="D244" s="1"/>
      <c r="E244" s="1"/>
      <c r="F244" s="24">
        <f t="shared" si="5"/>
        <v>0</v>
      </c>
    </row>
    <row r="245" spans="2:6" x14ac:dyDescent="0.25">
      <c r="B245" s="1"/>
      <c r="C245" s="1"/>
      <c r="D245" s="1"/>
      <c r="E245" s="1"/>
      <c r="F245" s="24">
        <f t="shared" si="5"/>
        <v>0</v>
      </c>
    </row>
    <row r="246" spans="2:6" x14ac:dyDescent="0.25">
      <c r="B246" s="1"/>
      <c r="C246" s="1"/>
      <c r="D246" s="1"/>
      <c r="E246" s="1"/>
      <c r="F246" s="24">
        <f t="shared" si="5"/>
        <v>0</v>
      </c>
    </row>
    <row r="247" spans="2:6" x14ac:dyDescent="0.25">
      <c r="B247" s="1"/>
      <c r="C247" s="1"/>
      <c r="D247" s="1"/>
      <c r="E247" s="1"/>
      <c r="F247" s="24">
        <f t="shared" si="5"/>
        <v>0</v>
      </c>
    </row>
    <row r="248" spans="2:6" x14ac:dyDescent="0.25">
      <c r="B248" s="1"/>
      <c r="C248" s="1"/>
      <c r="D248" s="1"/>
      <c r="E248" s="1"/>
      <c r="F248" s="24">
        <f t="shared" si="5"/>
        <v>0</v>
      </c>
    </row>
    <row r="249" spans="2:6" x14ac:dyDescent="0.25">
      <c r="B249" s="1"/>
      <c r="C249" s="1"/>
      <c r="D249" s="1"/>
      <c r="E249" s="1"/>
      <c r="F249" s="24">
        <f t="shared" si="5"/>
        <v>0</v>
      </c>
    </row>
    <row r="250" spans="2:6" x14ac:dyDescent="0.25">
      <c r="B250" s="10" t="s">
        <v>20</v>
      </c>
      <c r="C250" s="1"/>
      <c r="D250" s="1"/>
      <c r="E250" s="4">
        <f>SUM(E238:E249)</f>
        <v>2452</v>
      </c>
      <c r="F250" s="22">
        <f>SUM(F238:F249)</f>
        <v>103.94939885706535</v>
      </c>
    </row>
    <row r="251" spans="2:6" x14ac:dyDescent="0.25">
      <c r="B251" s="4" t="s">
        <v>22</v>
      </c>
      <c r="C251" s="6"/>
      <c r="D251" s="6"/>
      <c r="E251" s="6"/>
      <c r="F251" s="23">
        <f>F236+F250</f>
        <v>120.87939885706535</v>
      </c>
    </row>
    <row r="252" spans="2:6" x14ac:dyDescent="0.25">
      <c r="B252" s="7"/>
      <c r="C252" s="7"/>
      <c r="D252" s="7"/>
      <c r="E252" s="7"/>
      <c r="F252" s="7"/>
    </row>
    <row r="253" spans="2:6" x14ac:dyDescent="0.25">
      <c r="B253" s="13"/>
      <c r="C253" s="13"/>
      <c r="D253" s="13"/>
      <c r="E253" s="13"/>
      <c r="F253" s="13"/>
    </row>
    <row r="254" spans="2:6" x14ac:dyDescent="0.25">
      <c r="B254" s="13"/>
      <c r="C254" s="13"/>
      <c r="D254" s="13"/>
      <c r="E254" s="13"/>
      <c r="F254" s="13"/>
    </row>
    <row r="255" spans="2:6" x14ac:dyDescent="0.25">
      <c r="B255" s="39" t="s">
        <v>23</v>
      </c>
      <c r="C255" s="38"/>
      <c r="D255" s="38"/>
      <c r="E255" s="39" t="s">
        <v>24</v>
      </c>
      <c r="F255" s="38"/>
    </row>
    <row r="257" spans="2:6" ht="27" customHeight="1" x14ac:dyDescent="0.25">
      <c r="B257" s="37" t="s">
        <v>55</v>
      </c>
      <c r="C257" s="37"/>
      <c r="D257" s="37"/>
      <c r="E257" s="37"/>
      <c r="F257" s="37"/>
    </row>
    <row r="258" spans="2:6" ht="28.9" customHeight="1" x14ac:dyDescent="0.25">
      <c r="B258" s="37" t="s">
        <v>1</v>
      </c>
      <c r="C258" s="37"/>
      <c r="D258" s="37"/>
      <c r="E258" s="37"/>
      <c r="F258" s="37"/>
    </row>
    <row r="259" spans="2:6" x14ac:dyDescent="0.25">
      <c r="B259" s="14" t="s">
        <v>0</v>
      </c>
      <c r="C259" s="14"/>
      <c r="D259" s="14"/>
      <c r="E259" s="14"/>
      <c r="F259" s="14"/>
    </row>
    <row r="260" spans="2:6" x14ac:dyDescent="0.25">
      <c r="B260" s="12"/>
      <c r="C260" s="38" t="s">
        <v>25</v>
      </c>
      <c r="D260" s="38"/>
      <c r="E260" s="12">
        <v>1999.4</v>
      </c>
      <c r="F260" s="12" t="s">
        <v>26</v>
      </c>
    </row>
    <row r="262" spans="2:6" ht="60" x14ac:dyDescent="0.25">
      <c r="B262" s="1" t="s">
        <v>2</v>
      </c>
      <c r="C262" s="1" t="s">
        <v>4</v>
      </c>
      <c r="D262" s="1" t="s">
        <v>3</v>
      </c>
      <c r="E262" s="1" t="s">
        <v>447</v>
      </c>
      <c r="F262" s="1" t="s">
        <v>5</v>
      </c>
    </row>
    <row r="263" spans="2:6" x14ac:dyDescent="0.25">
      <c r="B263" s="1"/>
      <c r="C263" s="1"/>
      <c r="D263" s="1"/>
      <c r="E263" s="1"/>
      <c r="F263" s="1"/>
    </row>
    <row r="264" spans="2:6" x14ac:dyDescent="0.25">
      <c r="B264" s="3" t="s">
        <v>6</v>
      </c>
      <c r="C264" s="1"/>
      <c r="D264" s="1"/>
      <c r="E264" s="1"/>
      <c r="F264" s="1"/>
    </row>
    <row r="265" spans="2:6" x14ac:dyDescent="0.25">
      <c r="B265" s="5" t="s">
        <v>7</v>
      </c>
      <c r="C265" s="1"/>
      <c r="D265" s="1"/>
      <c r="E265" s="1"/>
      <c r="F265" s="5">
        <v>2.0099999999999998</v>
      </c>
    </row>
    <row r="266" spans="2:6" x14ac:dyDescent="0.25">
      <c r="B266" s="5" t="s">
        <v>8</v>
      </c>
      <c r="C266" s="1"/>
      <c r="D266" s="1"/>
      <c r="E266" s="1"/>
      <c r="F266" s="5">
        <v>5.34</v>
      </c>
    </row>
    <row r="267" spans="2:6" ht="24.75" x14ac:dyDescent="0.25">
      <c r="B267" s="5" t="s">
        <v>11</v>
      </c>
      <c r="C267" s="1"/>
      <c r="D267" s="1"/>
      <c r="E267" s="1"/>
      <c r="F267" s="5">
        <v>0.55000000000000004</v>
      </c>
    </row>
    <row r="268" spans="2:6" ht="24.75" x14ac:dyDescent="0.25">
      <c r="B268" s="5" t="s">
        <v>12</v>
      </c>
      <c r="C268" s="1"/>
      <c r="D268" s="1"/>
      <c r="E268" s="1"/>
      <c r="F268" s="5">
        <v>0.53</v>
      </c>
    </row>
    <row r="269" spans="2:6" ht="24.75" x14ac:dyDescent="0.25">
      <c r="B269" s="5" t="s">
        <v>13</v>
      </c>
      <c r="C269" s="1"/>
      <c r="D269" s="1"/>
      <c r="E269" s="1"/>
      <c r="F269" s="5">
        <v>0.19</v>
      </c>
    </row>
    <row r="270" spans="2:6" ht="24.75" x14ac:dyDescent="0.25">
      <c r="B270" s="5" t="s">
        <v>14</v>
      </c>
      <c r="C270" s="1"/>
      <c r="D270" s="1"/>
      <c r="E270" s="1"/>
      <c r="F270" s="5">
        <v>1.25</v>
      </c>
    </row>
    <row r="271" spans="2:6" ht="24.75" x14ac:dyDescent="0.25">
      <c r="B271" s="5" t="s">
        <v>9</v>
      </c>
      <c r="C271" s="1"/>
      <c r="D271" s="1"/>
      <c r="E271" s="1"/>
      <c r="F271" s="5">
        <v>0.26</v>
      </c>
    </row>
    <row r="272" spans="2:6" ht="24.75" x14ac:dyDescent="0.25">
      <c r="B272" s="5" t="s">
        <v>15</v>
      </c>
      <c r="C272" s="1"/>
      <c r="D272" s="1"/>
      <c r="E272" s="1"/>
      <c r="F272" s="5">
        <v>0.27</v>
      </c>
    </row>
    <row r="273" spans="2:6" ht="24.75" x14ac:dyDescent="0.25">
      <c r="B273" s="5" t="s">
        <v>16</v>
      </c>
      <c r="C273" s="1"/>
      <c r="D273" s="1"/>
      <c r="E273" s="1"/>
      <c r="F273" s="5">
        <v>0.28999999999999998</v>
      </c>
    </row>
    <row r="274" spans="2:6" x14ac:dyDescent="0.25">
      <c r="B274" s="5" t="s">
        <v>17</v>
      </c>
      <c r="C274" s="1"/>
      <c r="D274" s="1"/>
      <c r="E274" s="1"/>
      <c r="F274" s="5">
        <v>0.32</v>
      </c>
    </row>
    <row r="275" spans="2:6" x14ac:dyDescent="0.25">
      <c r="B275" s="5" t="s">
        <v>18</v>
      </c>
      <c r="C275" s="1"/>
      <c r="D275" s="1"/>
      <c r="E275" s="1"/>
      <c r="F275" s="5">
        <v>1.97</v>
      </c>
    </row>
    <row r="276" spans="2:6" x14ac:dyDescent="0.25">
      <c r="B276" s="5" t="s">
        <v>19</v>
      </c>
      <c r="C276" s="1"/>
      <c r="D276" s="1"/>
      <c r="E276" s="1"/>
      <c r="F276" s="5">
        <v>3.95</v>
      </c>
    </row>
    <row r="277" spans="2:6" x14ac:dyDescent="0.25">
      <c r="B277" s="10" t="s">
        <v>20</v>
      </c>
      <c r="C277" s="1"/>
      <c r="D277" s="1"/>
      <c r="E277" s="1"/>
      <c r="F277" s="4">
        <f>SUM(F265:F276)</f>
        <v>16.93</v>
      </c>
    </row>
    <row r="278" spans="2:6" x14ac:dyDescent="0.25">
      <c r="B278" s="3" t="s">
        <v>21</v>
      </c>
      <c r="C278" s="1"/>
      <c r="D278" s="1"/>
      <c r="E278" s="1"/>
      <c r="F278" s="1"/>
    </row>
    <row r="279" spans="2:6" x14ac:dyDescent="0.25">
      <c r="B279" s="1" t="s">
        <v>363</v>
      </c>
      <c r="C279" s="1" t="s">
        <v>256</v>
      </c>
      <c r="D279" s="1">
        <v>4</v>
      </c>
      <c r="E279" s="1">
        <v>200</v>
      </c>
      <c r="F279" s="24">
        <f>E279/1999.4*1000/12</f>
        <v>8.3358340835583995</v>
      </c>
    </row>
    <row r="280" spans="2:6" x14ac:dyDescent="0.25">
      <c r="B280" s="1" t="s">
        <v>335</v>
      </c>
      <c r="C280" s="1" t="s">
        <v>26</v>
      </c>
      <c r="D280" s="1">
        <v>60</v>
      </c>
      <c r="E280" s="1">
        <v>30</v>
      </c>
      <c r="F280" s="24">
        <f t="shared" ref="F280:F291" si="6">E280/1999.4*1000/12</f>
        <v>1.2503751125337601</v>
      </c>
    </row>
    <row r="281" spans="2:6" x14ac:dyDescent="0.25">
      <c r="B281" s="1"/>
      <c r="C281" s="1"/>
      <c r="D281" s="1"/>
      <c r="E281" s="1"/>
      <c r="F281" s="24"/>
    </row>
    <row r="282" spans="2:6" x14ac:dyDescent="0.25">
      <c r="B282" s="1" t="s">
        <v>342</v>
      </c>
      <c r="C282" s="1" t="s">
        <v>26</v>
      </c>
      <c r="D282" s="1">
        <v>5</v>
      </c>
      <c r="E282" s="1">
        <v>12.5</v>
      </c>
      <c r="F282" s="24">
        <f t="shared" si="6"/>
        <v>0.52098963022239997</v>
      </c>
    </row>
    <row r="283" spans="2:6" x14ac:dyDescent="0.25">
      <c r="B283" s="1" t="s">
        <v>339</v>
      </c>
      <c r="C283" s="1" t="s">
        <v>26</v>
      </c>
      <c r="D283" s="1">
        <v>25</v>
      </c>
      <c r="E283" s="1">
        <v>50</v>
      </c>
      <c r="F283" s="24">
        <f t="shared" si="6"/>
        <v>2.0839585208895999</v>
      </c>
    </row>
    <row r="284" spans="2:6" x14ac:dyDescent="0.25">
      <c r="B284" s="1" t="s">
        <v>364</v>
      </c>
      <c r="C284" s="1" t="s">
        <v>256</v>
      </c>
      <c r="D284" s="1">
        <v>5</v>
      </c>
      <c r="E284" s="1">
        <v>400</v>
      </c>
      <c r="F284" s="24">
        <f t="shared" si="6"/>
        <v>16.671668167116799</v>
      </c>
    </row>
    <row r="285" spans="2:6" x14ac:dyDescent="0.25">
      <c r="B285" s="1" t="s">
        <v>322</v>
      </c>
      <c r="C285" s="1" t="s">
        <v>261</v>
      </c>
      <c r="D285" s="1">
        <v>370</v>
      </c>
      <c r="E285" s="1">
        <v>444</v>
      </c>
      <c r="F285" s="24">
        <f t="shared" si="6"/>
        <v>18.505551665499649</v>
      </c>
    </row>
    <row r="286" spans="2:6" x14ac:dyDescent="0.25">
      <c r="B286" s="1" t="s">
        <v>323</v>
      </c>
      <c r="C286" s="1" t="s">
        <v>261</v>
      </c>
      <c r="D286" s="1">
        <v>850</v>
      </c>
      <c r="E286" s="1">
        <v>850</v>
      </c>
      <c r="F286" s="24">
        <f t="shared" si="6"/>
        <v>35.427294855123201</v>
      </c>
    </row>
    <row r="287" spans="2:6" x14ac:dyDescent="0.25">
      <c r="B287" s="1"/>
      <c r="C287" s="1"/>
      <c r="D287" s="1"/>
      <c r="E287" s="1"/>
      <c r="F287" s="24">
        <f t="shared" si="6"/>
        <v>0</v>
      </c>
    </row>
    <row r="288" spans="2:6" x14ac:dyDescent="0.25">
      <c r="B288" s="1"/>
      <c r="C288" s="1"/>
      <c r="D288" s="1"/>
      <c r="E288" s="1"/>
      <c r="F288" s="24">
        <f t="shared" si="6"/>
        <v>0</v>
      </c>
    </row>
    <row r="289" spans="2:6" x14ac:dyDescent="0.25">
      <c r="B289" s="1"/>
      <c r="C289" s="1"/>
      <c r="D289" s="1"/>
      <c r="E289" s="1"/>
      <c r="F289" s="24">
        <f t="shared" si="6"/>
        <v>0</v>
      </c>
    </row>
    <row r="290" spans="2:6" x14ac:dyDescent="0.25">
      <c r="B290" s="1"/>
      <c r="C290" s="1"/>
      <c r="D290" s="1"/>
      <c r="E290" s="1"/>
      <c r="F290" s="24">
        <f t="shared" si="6"/>
        <v>0</v>
      </c>
    </row>
    <row r="291" spans="2:6" x14ac:dyDescent="0.25">
      <c r="B291" s="1"/>
      <c r="C291" s="1"/>
      <c r="D291" s="1"/>
      <c r="E291" s="1"/>
      <c r="F291" s="24">
        <f t="shared" si="6"/>
        <v>0</v>
      </c>
    </row>
    <row r="292" spans="2:6" x14ac:dyDescent="0.25">
      <c r="B292" s="10" t="s">
        <v>20</v>
      </c>
      <c r="C292" s="1"/>
      <c r="D292" s="1"/>
      <c r="E292" s="4">
        <f>SUM(E279:E291)</f>
        <v>1986.5</v>
      </c>
      <c r="F292" s="22">
        <f>SUM(F279:F291)</f>
        <v>82.795672034943806</v>
      </c>
    </row>
    <row r="293" spans="2:6" x14ac:dyDescent="0.25">
      <c r="B293" s="4" t="s">
        <v>22</v>
      </c>
      <c r="C293" s="6"/>
      <c r="D293" s="6"/>
      <c r="E293" s="6"/>
      <c r="F293" s="23">
        <f>F277+F292</f>
        <v>99.725672034943813</v>
      </c>
    </row>
    <row r="294" spans="2:6" x14ac:dyDescent="0.25">
      <c r="B294" s="7"/>
      <c r="C294" s="7"/>
      <c r="D294" s="7"/>
      <c r="E294" s="7"/>
      <c r="F294" s="7"/>
    </row>
    <row r="295" spans="2:6" x14ac:dyDescent="0.25">
      <c r="B295" s="13"/>
      <c r="C295" s="13"/>
      <c r="D295" s="13"/>
      <c r="E295" s="13"/>
      <c r="F295" s="13"/>
    </row>
    <row r="296" spans="2:6" x14ac:dyDescent="0.25">
      <c r="B296" s="13"/>
      <c r="C296" s="13"/>
      <c r="D296" s="13"/>
      <c r="E296" s="13"/>
      <c r="F296" s="13"/>
    </row>
    <row r="297" spans="2:6" x14ac:dyDescent="0.25">
      <c r="B297" s="39" t="s">
        <v>23</v>
      </c>
      <c r="C297" s="38"/>
      <c r="D297" s="38"/>
      <c r="E297" s="39" t="s">
        <v>24</v>
      </c>
      <c r="F297" s="38"/>
    </row>
    <row r="299" spans="2:6" ht="31.9" customHeight="1" x14ac:dyDescent="0.25">
      <c r="B299" s="37" t="s">
        <v>56</v>
      </c>
      <c r="C299" s="37"/>
      <c r="D299" s="37"/>
      <c r="E299" s="37"/>
      <c r="F299" s="37"/>
    </row>
    <row r="300" spans="2:6" ht="31.9" customHeight="1" x14ac:dyDescent="0.25">
      <c r="B300" s="37" t="s">
        <v>1</v>
      </c>
      <c r="C300" s="37"/>
      <c r="D300" s="37"/>
      <c r="E300" s="37"/>
      <c r="F300" s="37"/>
    </row>
    <row r="301" spans="2:6" x14ac:dyDescent="0.25">
      <c r="B301" s="14" t="s">
        <v>0</v>
      </c>
      <c r="C301" s="14"/>
      <c r="D301" s="14"/>
      <c r="E301" s="14"/>
      <c r="F301" s="14"/>
    </row>
    <row r="302" spans="2:6" x14ac:dyDescent="0.25">
      <c r="B302" s="12"/>
      <c r="C302" s="38" t="s">
        <v>25</v>
      </c>
      <c r="D302" s="38"/>
      <c r="E302" s="12">
        <v>1941</v>
      </c>
      <c r="F302" s="12" t="s">
        <v>26</v>
      </c>
    </row>
    <row r="304" spans="2:6" ht="60" x14ac:dyDescent="0.25">
      <c r="B304" s="1" t="s">
        <v>2</v>
      </c>
      <c r="C304" s="1" t="s">
        <v>4</v>
      </c>
      <c r="D304" s="1" t="s">
        <v>3</v>
      </c>
      <c r="E304" s="1" t="s">
        <v>447</v>
      </c>
      <c r="F304" s="1" t="s">
        <v>5</v>
      </c>
    </row>
    <row r="305" spans="2:6" x14ac:dyDescent="0.25">
      <c r="B305" s="1"/>
      <c r="C305" s="1"/>
      <c r="D305" s="1"/>
      <c r="E305" s="1"/>
      <c r="F305" s="1"/>
    </row>
    <row r="306" spans="2:6" x14ac:dyDescent="0.25">
      <c r="B306" s="3" t="s">
        <v>6</v>
      </c>
      <c r="C306" s="1"/>
      <c r="D306" s="1"/>
      <c r="E306" s="1"/>
      <c r="F306" s="1"/>
    </row>
    <row r="307" spans="2:6" x14ac:dyDescent="0.25">
      <c r="B307" s="5" t="s">
        <v>7</v>
      </c>
      <c r="C307" s="1"/>
      <c r="D307" s="1"/>
      <c r="E307" s="1"/>
      <c r="F307" s="5">
        <v>2.0099999999999998</v>
      </c>
    </row>
    <row r="308" spans="2:6" x14ac:dyDescent="0.25">
      <c r="B308" s="5" t="s">
        <v>8</v>
      </c>
      <c r="C308" s="1"/>
      <c r="D308" s="1"/>
      <c r="E308" s="1"/>
      <c r="F308" s="5">
        <v>5.34</v>
      </c>
    </row>
    <row r="309" spans="2:6" ht="24.75" x14ac:dyDescent="0.25">
      <c r="B309" s="5" t="s">
        <v>11</v>
      </c>
      <c r="C309" s="1"/>
      <c r="D309" s="1"/>
      <c r="E309" s="1"/>
      <c r="F309" s="5">
        <v>0.55000000000000004</v>
      </c>
    </row>
    <row r="310" spans="2:6" ht="24.75" x14ac:dyDescent="0.25">
      <c r="B310" s="5" t="s">
        <v>12</v>
      </c>
      <c r="C310" s="1"/>
      <c r="D310" s="1"/>
      <c r="E310" s="1"/>
      <c r="F310" s="5">
        <v>0.53</v>
      </c>
    </row>
    <row r="311" spans="2:6" ht="24.75" x14ac:dyDescent="0.25">
      <c r="B311" s="5" t="s">
        <v>13</v>
      </c>
      <c r="C311" s="1"/>
      <c r="D311" s="1"/>
      <c r="E311" s="1"/>
      <c r="F311" s="5">
        <v>0.19</v>
      </c>
    </row>
    <row r="312" spans="2:6" ht="24.75" x14ac:dyDescent="0.25">
      <c r="B312" s="5" t="s">
        <v>14</v>
      </c>
      <c r="C312" s="1"/>
      <c r="D312" s="1"/>
      <c r="E312" s="1"/>
      <c r="F312" s="5">
        <v>1.25</v>
      </c>
    </row>
    <row r="313" spans="2:6" ht="24.75" x14ac:dyDescent="0.25">
      <c r="B313" s="5" t="s">
        <v>9</v>
      </c>
      <c r="C313" s="1"/>
      <c r="D313" s="1"/>
      <c r="E313" s="1"/>
      <c r="F313" s="5">
        <v>0.26</v>
      </c>
    </row>
    <row r="314" spans="2:6" ht="24.75" x14ac:dyDescent="0.25">
      <c r="B314" s="5" t="s">
        <v>15</v>
      </c>
      <c r="C314" s="1"/>
      <c r="D314" s="1"/>
      <c r="E314" s="1"/>
      <c r="F314" s="5">
        <v>0.27</v>
      </c>
    </row>
    <row r="315" spans="2:6" ht="24.75" x14ac:dyDescent="0.25">
      <c r="B315" s="5" t="s">
        <v>16</v>
      </c>
      <c r="C315" s="1"/>
      <c r="D315" s="1"/>
      <c r="E315" s="1"/>
      <c r="F315" s="5">
        <v>0.28999999999999998</v>
      </c>
    </row>
    <row r="316" spans="2:6" x14ac:dyDescent="0.25">
      <c r="B316" s="5" t="s">
        <v>17</v>
      </c>
      <c r="C316" s="1"/>
      <c r="D316" s="1"/>
      <c r="E316" s="1"/>
      <c r="F316" s="5">
        <v>0.32</v>
      </c>
    </row>
    <row r="317" spans="2:6" x14ac:dyDescent="0.25">
      <c r="B317" s="5" t="s">
        <v>18</v>
      </c>
      <c r="C317" s="1"/>
      <c r="D317" s="1"/>
      <c r="E317" s="1"/>
      <c r="F317" s="5">
        <v>1.97</v>
      </c>
    </row>
    <row r="318" spans="2:6" x14ac:dyDescent="0.25">
      <c r="B318" s="5" t="s">
        <v>19</v>
      </c>
      <c r="C318" s="1"/>
      <c r="D318" s="1"/>
      <c r="E318" s="1"/>
      <c r="F318" s="5">
        <v>3.95</v>
      </c>
    </row>
    <row r="319" spans="2:6" x14ac:dyDescent="0.25">
      <c r="B319" s="10" t="s">
        <v>20</v>
      </c>
      <c r="C319" s="1"/>
      <c r="D319" s="1"/>
      <c r="E319" s="1"/>
      <c r="F319" s="4">
        <f>SUM(F307:F318)</f>
        <v>16.93</v>
      </c>
    </row>
    <row r="320" spans="2:6" x14ac:dyDescent="0.25">
      <c r="B320" s="3" t="s">
        <v>21</v>
      </c>
      <c r="C320" s="1"/>
      <c r="D320" s="1"/>
      <c r="E320" s="1"/>
      <c r="F320" s="1"/>
    </row>
    <row r="321" spans="2:6" x14ac:dyDescent="0.25">
      <c r="B321" s="1" t="s">
        <v>363</v>
      </c>
      <c r="C321" s="1" t="s">
        <v>256</v>
      </c>
      <c r="D321" s="1">
        <v>5</v>
      </c>
      <c r="E321" s="1">
        <v>250</v>
      </c>
      <c r="F321" s="24">
        <f>E321/1941*1000/12</f>
        <v>10.733298986776575</v>
      </c>
    </row>
    <row r="322" spans="2:6" x14ac:dyDescent="0.25">
      <c r="B322" s="1" t="s">
        <v>361</v>
      </c>
      <c r="C322" s="1" t="s">
        <v>265</v>
      </c>
      <c r="D322" s="1">
        <v>4</v>
      </c>
      <c r="E322" s="1">
        <v>40</v>
      </c>
      <c r="F322" s="24">
        <f t="shared" ref="F322:F332" si="7">E322/1941*1000/12</f>
        <v>1.717327837884252</v>
      </c>
    </row>
    <row r="323" spans="2:6" x14ac:dyDescent="0.25">
      <c r="B323" s="1" t="s">
        <v>275</v>
      </c>
      <c r="C323" s="1" t="s">
        <v>26</v>
      </c>
      <c r="D323" s="1">
        <v>50</v>
      </c>
      <c r="E323" s="1">
        <v>75</v>
      </c>
      <c r="F323" s="24">
        <f t="shared" si="7"/>
        <v>3.219989696032973</v>
      </c>
    </row>
    <row r="324" spans="2:6" x14ac:dyDescent="0.25">
      <c r="B324" s="1" t="s">
        <v>335</v>
      </c>
      <c r="C324" s="1" t="s">
        <v>26</v>
      </c>
      <c r="D324" s="1">
        <v>198</v>
      </c>
      <c r="E324" s="1">
        <v>118.8</v>
      </c>
      <c r="F324" s="24">
        <f t="shared" si="7"/>
        <v>5.1004636785162285</v>
      </c>
    </row>
    <row r="325" spans="2:6" x14ac:dyDescent="0.25">
      <c r="B325" s="1" t="s">
        <v>322</v>
      </c>
      <c r="C325" s="1" t="s">
        <v>261</v>
      </c>
      <c r="D325" s="1">
        <v>370</v>
      </c>
      <c r="E325" s="1">
        <v>444</v>
      </c>
      <c r="F325" s="24">
        <f t="shared" si="7"/>
        <v>19.062339000515198</v>
      </c>
    </row>
    <row r="326" spans="2:6" x14ac:dyDescent="0.25">
      <c r="B326" s="1" t="s">
        <v>330</v>
      </c>
      <c r="C326" s="1" t="s">
        <v>261</v>
      </c>
      <c r="D326" s="1">
        <v>60</v>
      </c>
      <c r="E326" s="1">
        <v>78</v>
      </c>
      <c r="F326" s="24">
        <f t="shared" si="7"/>
        <v>3.3487892838742916</v>
      </c>
    </row>
    <row r="327" spans="2:6" x14ac:dyDescent="0.25">
      <c r="B327" s="1" t="s">
        <v>319</v>
      </c>
      <c r="C327" s="1" t="s">
        <v>261</v>
      </c>
      <c r="D327" s="1">
        <v>50</v>
      </c>
      <c r="E327" s="1">
        <v>65</v>
      </c>
      <c r="F327" s="24">
        <f t="shared" si="7"/>
        <v>2.7906577365619096</v>
      </c>
    </row>
    <row r="328" spans="2:6" x14ac:dyDescent="0.25">
      <c r="B328" s="1" t="s">
        <v>323</v>
      </c>
      <c r="C328" s="1" t="s">
        <v>261</v>
      </c>
      <c r="D328" s="1">
        <v>850</v>
      </c>
      <c r="E328" s="1">
        <v>850</v>
      </c>
      <c r="F328" s="24">
        <f t="shared" si="7"/>
        <v>36.493216555040355</v>
      </c>
    </row>
    <row r="329" spans="2:6" x14ac:dyDescent="0.25">
      <c r="B329" s="1" t="s">
        <v>320</v>
      </c>
      <c r="C329" s="1" t="s">
        <v>261</v>
      </c>
      <c r="D329" s="1">
        <v>90</v>
      </c>
      <c r="E329" s="1">
        <v>171</v>
      </c>
      <c r="F329" s="24">
        <f t="shared" si="7"/>
        <v>7.3415765069551782</v>
      </c>
    </row>
    <row r="330" spans="2:6" x14ac:dyDescent="0.25">
      <c r="B330" s="1" t="s">
        <v>325</v>
      </c>
      <c r="C330" s="1" t="s">
        <v>261</v>
      </c>
      <c r="D330" s="1">
        <v>100</v>
      </c>
      <c r="E330" s="1">
        <v>190</v>
      </c>
      <c r="F330" s="24">
        <f t="shared" si="7"/>
        <v>8.157307229950197</v>
      </c>
    </row>
    <row r="331" spans="2:6" x14ac:dyDescent="0.25">
      <c r="B331" s="1" t="s">
        <v>339</v>
      </c>
      <c r="C331" s="1" t="s">
        <v>26</v>
      </c>
      <c r="D331" s="1">
        <v>25</v>
      </c>
      <c r="E331" s="1">
        <v>50</v>
      </c>
      <c r="F331" s="24">
        <f t="shared" si="7"/>
        <v>2.1466597973553152</v>
      </c>
    </row>
    <row r="332" spans="2:6" x14ac:dyDescent="0.25">
      <c r="B332" s="1" t="s">
        <v>364</v>
      </c>
      <c r="C332" s="1" t="s">
        <v>256</v>
      </c>
      <c r="D332" s="1">
        <v>4</v>
      </c>
      <c r="E332" s="1">
        <v>320</v>
      </c>
      <c r="F332" s="24">
        <f t="shared" si="7"/>
        <v>13.738622703074016</v>
      </c>
    </row>
    <row r="333" spans="2:6" x14ac:dyDescent="0.25">
      <c r="B333" s="10" t="s">
        <v>20</v>
      </c>
      <c r="C333" s="1"/>
      <c r="D333" s="1"/>
      <c r="E333" s="4">
        <f>SUM(E321:E332)</f>
        <v>2651.8</v>
      </c>
      <c r="F333" s="22">
        <f>SUM(F321:F332)</f>
        <v>113.85024901253648</v>
      </c>
    </row>
    <row r="334" spans="2:6" x14ac:dyDescent="0.25">
      <c r="B334" s="4" t="s">
        <v>22</v>
      </c>
      <c r="C334" s="6"/>
      <c r="D334" s="6"/>
      <c r="E334" s="6"/>
      <c r="F334" s="23">
        <f>F319+F333</f>
        <v>130.78024901253647</v>
      </c>
    </row>
    <row r="335" spans="2:6" x14ac:dyDescent="0.25">
      <c r="B335" s="7"/>
      <c r="C335" s="7"/>
      <c r="D335" s="7"/>
      <c r="E335" s="7"/>
      <c r="F335" s="7"/>
    </row>
    <row r="336" spans="2:6" x14ac:dyDescent="0.25">
      <c r="B336" s="13"/>
      <c r="C336" s="13"/>
      <c r="D336" s="13"/>
      <c r="E336" s="13"/>
      <c r="F336" s="13"/>
    </row>
    <row r="337" spans="2:6" x14ac:dyDescent="0.25">
      <c r="B337" s="13"/>
      <c r="C337" s="13"/>
      <c r="D337" s="13"/>
      <c r="E337" s="13"/>
      <c r="F337" s="13"/>
    </row>
    <row r="338" spans="2:6" x14ac:dyDescent="0.25">
      <c r="B338" s="39" t="s">
        <v>23</v>
      </c>
      <c r="C338" s="38"/>
      <c r="D338" s="38"/>
      <c r="E338" s="39" t="s">
        <v>24</v>
      </c>
      <c r="F338" s="38"/>
    </row>
  </sheetData>
  <mergeCells count="40">
    <mergeCell ref="B2:F2"/>
    <mergeCell ref="B3:F3"/>
    <mergeCell ref="C5:D5"/>
    <mergeCell ref="E43:F43"/>
    <mergeCell ref="B43:D43"/>
    <mergeCell ref="B132:F132"/>
    <mergeCell ref="B45:F45"/>
    <mergeCell ref="B46:F46"/>
    <mergeCell ref="C48:D48"/>
    <mergeCell ref="B86:D86"/>
    <mergeCell ref="E86:F86"/>
    <mergeCell ref="B88:F88"/>
    <mergeCell ref="B89:F89"/>
    <mergeCell ref="C91:D91"/>
    <mergeCell ref="B129:D129"/>
    <mergeCell ref="E129:F129"/>
    <mergeCell ref="B131:F131"/>
    <mergeCell ref="B255:D255"/>
    <mergeCell ref="E255:F255"/>
    <mergeCell ref="C134:D134"/>
    <mergeCell ref="B172:D172"/>
    <mergeCell ref="E172:F172"/>
    <mergeCell ref="B174:F174"/>
    <mergeCell ref="B175:F175"/>
    <mergeCell ref="C177:D177"/>
    <mergeCell ref="B214:D214"/>
    <mergeCell ref="E214:F214"/>
    <mergeCell ref="B216:F216"/>
    <mergeCell ref="B217:F217"/>
    <mergeCell ref="C219:D219"/>
    <mergeCell ref="B300:F300"/>
    <mergeCell ref="C302:D302"/>
    <mergeCell ref="B338:D338"/>
    <mergeCell ref="E338:F338"/>
    <mergeCell ref="B257:F257"/>
    <mergeCell ref="B258:F258"/>
    <mergeCell ref="C260:D260"/>
    <mergeCell ref="B297:D297"/>
    <mergeCell ref="E297:F297"/>
    <mergeCell ref="B299:F29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5"/>
  <sheetViews>
    <sheetView topLeftCell="A133" workbookViewId="0">
      <selection activeCell="F77" sqref="F77"/>
    </sheetView>
  </sheetViews>
  <sheetFormatPr defaultRowHeight="15" x14ac:dyDescent="0.25"/>
  <cols>
    <col min="2" max="2" width="40" customWidth="1"/>
    <col min="6" max="6" width="11.42578125" bestFit="1" customWidth="1"/>
  </cols>
  <sheetData>
    <row r="1" spans="2:6" ht="31.15" customHeight="1" x14ac:dyDescent="0.25">
      <c r="B1" s="37" t="s">
        <v>57</v>
      </c>
      <c r="C1" s="37"/>
      <c r="D1" s="37"/>
      <c r="E1" s="37"/>
      <c r="F1" s="37"/>
    </row>
    <row r="2" spans="2:6" ht="30.6" customHeight="1" x14ac:dyDescent="0.25">
      <c r="B2" s="37" t="s">
        <v>1</v>
      </c>
      <c r="C2" s="37"/>
      <c r="D2" s="37"/>
      <c r="E2" s="37"/>
      <c r="F2" s="37"/>
    </row>
    <row r="3" spans="2:6" x14ac:dyDescent="0.25">
      <c r="B3" s="14" t="s">
        <v>0</v>
      </c>
      <c r="C3" s="14"/>
      <c r="D3" s="14"/>
      <c r="E3" s="14"/>
      <c r="F3" s="14"/>
    </row>
    <row r="4" spans="2:6" x14ac:dyDescent="0.25">
      <c r="B4" s="12"/>
      <c r="C4" s="38" t="s">
        <v>25</v>
      </c>
      <c r="D4" s="38"/>
      <c r="E4" s="12">
        <v>387.5</v>
      </c>
      <c r="F4" s="12" t="s">
        <v>26</v>
      </c>
    </row>
    <row r="6" spans="2:6" ht="60" x14ac:dyDescent="0.25">
      <c r="B6" s="1" t="s">
        <v>2</v>
      </c>
      <c r="C6" s="1" t="s">
        <v>4</v>
      </c>
      <c r="D6" s="1" t="s">
        <v>3</v>
      </c>
      <c r="E6" s="1" t="s">
        <v>447</v>
      </c>
      <c r="F6" s="1" t="s">
        <v>5</v>
      </c>
    </row>
    <row r="7" spans="2:6" x14ac:dyDescent="0.25">
      <c r="B7" s="1"/>
      <c r="C7" s="1"/>
      <c r="D7" s="1"/>
      <c r="E7" s="1"/>
      <c r="F7" s="1"/>
    </row>
    <row r="8" spans="2:6" x14ac:dyDescent="0.25">
      <c r="B8" s="3" t="s">
        <v>6</v>
      </c>
      <c r="C8" s="1"/>
      <c r="D8" s="1"/>
      <c r="E8" s="1"/>
      <c r="F8" s="1"/>
    </row>
    <row r="9" spans="2:6" x14ac:dyDescent="0.25">
      <c r="B9" s="5" t="s">
        <v>7</v>
      </c>
      <c r="C9" s="1"/>
      <c r="D9" s="1"/>
      <c r="E9" s="1"/>
      <c r="F9" s="5">
        <v>2.0099999999999998</v>
      </c>
    </row>
    <row r="10" spans="2:6" x14ac:dyDescent="0.25">
      <c r="B10" s="5" t="s">
        <v>8</v>
      </c>
      <c r="C10" s="1"/>
      <c r="D10" s="1"/>
      <c r="E10" s="1"/>
      <c r="F10" s="5">
        <v>5.34</v>
      </c>
    </row>
    <row r="11" spans="2:6" ht="24.75" x14ac:dyDescent="0.25">
      <c r="B11" s="5" t="s">
        <v>11</v>
      </c>
      <c r="C11" s="1"/>
      <c r="D11" s="1"/>
      <c r="E11" s="1"/>
      <c r="F11" s="5">
        <v>0.55000000000000004</v>
      </c>
    </row>
    <row r="12" spans="2:6" ht="24.75" x14ac:dyDescent="0.25">
      <c r="B12" s="5" t="s">
        <v>12</v>
      </c>
      <c r="C12" s="1"/>
      <c r="D12" s="1"/>
      <c r="E12" s="1"/>
      <c r="F12" s="5">
        <v>0.53</v>
      </c>
    </row>
    <row r="13" spans="2:6" ht="24.75" x14ac:dyDescent="0.25">
      <c r="B13" s="5" t="s">
        <v>13</v>
      </c>
      <c r="C13" s="1"/>
      <c r="D13" s="1"/>
      <c r="E13" s="1"/>
      <c r="F13" s="5">
        <v>0.19</v>
      </c>
    </row>
    <row r="14" spans="2:6" ht="24.75" x14ac:dyDescent="0.25">
      <c r="B14" s="5" t="s">
        <v>14</v>
      </c>
      <c r="C14" s="1"/>
      <c r="D14" s="1"/>
      <c r="E14" s="1"/>
      <c r="F14" s="5">
        <v>1.25</v>
      </c>
    </row>
    <row r="15" spans="2:6" ht="24.75" x14ac:dyDescent="0.25">
      <c r="B15" s="5" t="s">
        <v>9</v>
      </c>
      <c r="C15" s="1"/>
      <c r="D15" s="1"/>
      <c r="E15" s="1"/>
      <c r="F15" s="5">
        <v>0.26</v>
      </c>
    </row>
    <row r="16" spans="2:6" ht="24.75" x14ac:dyDescent="0.25">
      <c r="B16" s="5" t="s">
        <v>15</v>
      </c>
      <c r="C16" s="1"/>
      <c r="D16" s="1"/>
      <c r="E16" s="1"/>
      <c r="F16" s="5">
        <v>0.27</v>
      </c>
    </row>
    <row r="17" spans="2:6" ht="24.75" x14ac:dyDescent="0.25">
      <c r="B17" s="5" t="s">
        <v>16</v>
      </c>
      <c r="C17" s="1"/>
      <c r="D17" s="1"/>
      <c r="E17" s="1"/>
      <c r="F17" s="5">
        <v>0.28999999999999998</v>
      </c>
    </row>
    <row r="18" spans="2:6" x14ac:dyDescent="0.25">
      <c r="B18" s="5" t="s">
        <v>17</v>
      </c>
      <c r="C18" s="1"/>
      <c r="D18" s="1"/>
      <c r="E18" s="1"/>
      <c r="F18" s="5">
        <v>0.32</v>
      </c>
    </row>
    <row r="19" spans="2:6" x14ac:dyDescent="0.25">
      <c r="B19" s="5" t="s">
        <v>18</v>
      </c>
      <c r="C19" s="1"/>
      <c r="D19" s="1"/>
      <c r="E19" s="1"/>
      <c r="F19" s="5">
        <v>1.97</v>
      </c>
    </row>
    <row r="20" spans="2:6" x14ac:dyDescent="0.25">
      <c r="B20" s="5" t="s">
        <v>19</v>
      </c>
      <c r="C20" s="1"/>
      <c r="D20" s="1"/>
      <c r="E20" s="1"/>
      <c r="F20" s="5">
        <v>3.95</v>
      </c>
    </row>
    <row r="21" spans="2:6" x14ac:dyDescent="0.25">
      <c r="B21" s="10" t="s">
        <v>20</v>
      </c>
      <c r="C21" s="1"/>
      <c r="D21" s="1"/>
      <c r="E21" s="1"/>
      <c r="F21" s="4">
        <f>SUM(F9:F20)</f>
        <v>16.93</v>
      </c>
    </row>
    <row r="22" spans="2:6" x14ac:dyDescent="0.25">
      <c r="B22" s="3" t="s">
        <v>21</v>
      </c>
      <c r="C22" s="1"/>
      <c r="D22" s="1"/>
      <c r="E22" s="1"/>
      <c r="F22" s="1"/>
    </row>
    <row r="23" spans="2:6" x14ac:dyDescent="0.25">
      <c r="B23" s="1" t="s">
        <v>326</v>
      </c>
      <c r="C23" s="1" t="s">
        <v>26</v>
      </c>
      <c r="D23" s="1">
        <v>25</v>
      </c>
      <c r="E23" s="1">
        <v>37.5</v>
      </c>
      <c r="F23" s="24">
        <f>E23/387.5*1000/12</f>
        <v>8.064516129032258</v>
      </c>
    </row>
    <row r="24" spans="2:6" x14ac:dyDescent="0.25">
      <c r="B24" s="1" t="s">
        <v>327</v>
      </c>
      <c r="C24" s="1" t="s">
        <v>261</v>
      </c>
      <c r="D24" s="1">
        <v>130</v>
      </c>
      <c r="E24" s="1">
        <v>104</v>
      </c>
      <c r="F24" s="24">
        <f t="shared" ref="F24:F35" si="0">E24/387.5*1000/12</f>
        <v>22.36559139784946</v>
      </c>
    </row>
    <row r="25" spans="2:6" x14ac:dyDescent="0.25">
      <c r="B25" s="1" t="s">
        <v>275</v>
      </c>
      <c r="C25" s="1" t="s">
        <v>26</v>
      </c>
      <c r="D25" s="1">
        <v>70</v>
      </c>
      <c r="E25" s="1">
        <v>105</v>
      </c>
      <c r="F25" s="24">
        <f t="shared" si="0"/>
        <v>22.580645161290324</v>
      </c>
    </row>
    <row r="26" spans="2:6" x14ac:dyDescent="0.25">
      <c r="B26" s="1" t="s">
        <v>335</v>
      </c>
      <c r="C26" s="1" t="s">
        <v>26</v>
      </c>
      <c r="D26" s="1">
        <v>5</v>
      </c>
      <c r="E26" s="1">
        <v>3</v>
      </c>
      <c r="F26" s="24">
        <f t="shared" si="0"/>
        <v>0.64516129032258063</v>
      </c>
    </row>
    <row r="27" spans="2:6" x14ac:dyDescent="0.25">
      <c r="B27" s="1" t="s">
        <v>330</v>
      </c>
      <c r="C27" s="1" t="s">
        <v>261</v>
      </c>
      <c r="D27" s="1">
        <v>16</v>
      </c>
      <c r="E27" s="1">
        <v>20.8</v>
      </c>
      <c r="F27" s="24">
        <f t="shared" si="0"/>
        <v>4.4731182795698929</v>
      </c>
    </row>
    <row r="28" spans="2:6" x14ac:dyDescent="0.25">
      <c r="B28" s="1" t="s">
        <v>319</v>
      </c>
      <c r="C28" s="1" t="s">
        <v>261</v>
      </c>
      <c r="D28" s="1">
        <v>12</v>
      </c>
      <c r="E28" s="1">
        <v>15.6</v>
      </c>
      <c r="F28" s="24">
        <f t="shared" si="0"/>
        <v>3.3548387096774195</v>
      </c>
    </row>
    <row r="29" spans="2:6" x14ac:dyDescent="0.25">
      <c r="B29" s="1" t="s">
        <v>320</v>
      </c>
      <c r="C29" s="1" t="s">
        <v>261</v>
      </c>
      <c r="D29" s="1">
        <v>28</v>
      </c>
      <c r="E29" s="1">
        <v>53.2</v>
      </c>
      <c r="F29" s="24">
        <f t="shared" si="0"/>
        <v>11.440860215053762</v>
      </c>
    </row>
    <row r="30" spans="2:6" x14ac:dyDescent="0.25">
      <c r="B30" s="1" t="s">
        <v>325</v>
      </c>
      <c r="C30" s="1" t="s">
        <v>261</v>
      </c>
      <c r="D30" s="1">
        <v>20</v>
      </c>
      <c r="E30" s="1">
        <v>38</v>
      </c>
      <c r="F30" s="24">
        <f t="shared" si="0"/>
        <v>8.172043010752688</v>
      </c>
    </row>
    <row r="31" spans="2:6" x14ac:dyDescent="0.25">
      <c r="B31" s="1" t="s">
        <v>321</v>
      </c>
      <c r="C31" s="1" t="s">
        <v>256</v>
      </c>
      <c r="D31" s="1">
        <v>2</v>
      </c>
      <c r="E31" s="1">
        <v>100</v>
      </c>
      <c r="F31" s="24">
        <f t="shared" si="0"/>
        <v>21.50537634408602</v>
      </c>
    </row>
    <row r="32" spans="2:6" x14ac:dyDescent="0.25">
      <c r="B32" s="1" t="s">
        <v>419</v>
      </c>
      <c r="C32" s="1" t="s">
        <v>265</v>
      </c>
      <c r="D32" s="1">
        <v>1</v>
      </c>
      <c r="E32" s="1">
        <v>10</v>
      </c>
      <c r="F32" s="24">
        <f t="shared" si="0"/>
        <v>2.150537634408602</v>
      </c>
    </row>
    <row r="33" spans="2:6" x14ac:dyDescent="0.25">
      <c r="B33" s="1" t="s">
        <v>434</v>
      </c>
      <c r="C33" s="1" t="s">
        <v>26</v>
      </c>
      <c r="D33" s="1">
        <v>240</v>
      </c>
      <c r="E33" s="1">
        <v>72</v>
      </c>
      <c r="F33" s="24">
        <f t="shared" si="0"/>
        <v>15.483870967741936</v>
      </c>
    </row>
    <row r="34" spans="2:6" x14ac:dyDescent="0.25">
      <c r="B34" s="1" t="s">
        <v>322</v>
      </c>
      <c r="C34" s="1" t="s">
        <v>261</v>
      </c>
      <c r="D34" s="1">
        <v>120</v>
      </c>
      <c r="E34" s="1">
        <v>144</v>
      </c>
      <c r="F34" s="24">
        <f t="shared" si="0"/>
        <v>30.967741935483872</v>
      </c>
    </row>
    <row r="35" spans="2:6" x14ac:dyDescent="0.25">
      <c r="B35" s="1" t="s">
        <v>323</v>
      </c>
      <c r="C35" s="1" t="s">
        <v>261</v>
      </c>
      <c r="D35" s="1">
        <v>160</v>
      </c>
      <c r="E35" s="1">
        <v>160</v>
      </c>
      <c r="F35" s="24">
        <f t="shared" si="0"/>
        <v>34.408602150537632</v>
      </c>
    </row>
    <row r="36" spans="2:6" x14ac:dyDescent="0.25">
      <c r="B36" s="10" t="s">
        <v>20</v>
      </c>
      <c r="C36" s="1"/>
      <c r="D36" s="1"/>
      <c r="E36" s="4">
        <f>SUM(E23:E35)</f>
        <v>863.1</v>
      </c>
      <c r="F36" s="22">
        <f>SUM(F23:F35)</f>
        <v>185.61290322580646</v>
      </c>
    </row>
    <row r="37" spans="2:6" x14ac:dyDescent="0.25">
      <c r="B37" s="4" t="s">
        <v>22</v>
      </c>
      <c r="C37" s="6"/>
      <c r="D37" s="6"/>
      <c r="E37" s="6"/>
      <c r="F37" s="23">
        <f>F21+F36</f>
        <v>202.54290322580647</v>
      </c>
    </row>
    <row r="38" spans="2:6" x14ac:dyDescent="0.25">
      <c r="B38" s="7"/>
      <c r="C38" s="7"/>
      <c r="D38" s="7"/>
      <c r="E38" s="7"/>
      <c r="F38" s="7"/>
    </row>
    <row r="39" spans="2:6" x14ac:dyDescent="0.25">
      <c r="B39" s="13"/>
      <c r="C39" s="13"/>
      <c r="D39" s="13"/>
      <c r="E39" s="13"/>
      <c r="F39" s="13"/>
    </row>
    <row r="40" spans="2:6" x14ac:dyDescent="0.25">
      <c r="B40" s="13"/>
      <c r="C40" s="13"/>
      <c r="D40" s="13"/>
      <c r="E40" s="13"/>
      <c r="F40" s="13"/>
    </row>
    <row r="41" spans="2:6" x14ac:dyDescent="0.25">
      <c r="B41" s="39" t="s">
        <v>23</v>
      </c>
      <c r="C41" s="38"/>
      <c r="D41" s="38"/>
      <c r="E41" s="39" t="s">
        <v>24</v>
      </c>
      <c r="F41" s="38"/>
    </row>
    <row r="43" spans="2:6" ht="26.45" customHeight="1" x14ac:dyDescent="0.25">
      <c r="B43" s="37" t="s">
        <v>58</v>
      </c>
      <c r="C43" s="37"/>
      <c r="D43" s="37"/>
      <c r="E43" s="37"/>
      <c r="F43" s="37"/>
    </row>
    <row r="44" spans="2:6" ht="27.6" customHeight="1" x14ac:dyDescent="0.25">
      <c r="B44" s="37" t="s">
        <v>1</v>
      </c>
      <c r="C44" s="37"/>
      <c r="D44" s="37"/>
      <c r="E44" s="37"/>
      <c r="F44" s="37"/>
    </row>
    <row r="45" spans="2:6" x14ac:dyDescent="0.25">
      <c r="B45" s="14" t="s">
        <v>0</v>
      </c>
      <c r="C45" s="14"/>
      <c r="D45" s="14"/>
      <c r="E45" s="14"/>
      <c r="F45" s="14"/>
    </row>
    <row r="46" spans="2:6" x14ac:dyDescent="0.25">
      <c r="B46" s="12"/>
      <c r="C46" s="38" t="s">
        <v>25</v>
      </c>
      <c r="D46" s="38"/>
      <c r="E46" s="12">
        <v>954.6</v>
      </c>
      <c r="F46" s="12" t="s">
        <v>26</v>
      </c>
    </row>
    <row r="48" spans="2:6" ht="60" x14ac:dyDescent="0.25">
      <c r="B48" s="1" t="s">
        <v>2</v>
      </c>
      <c r="C48" s="1" t="s">
        <v>4</v>
      </c>
      <c r="D48" s="1" t="s">
        <v>3</v>
      </c>
      <c r="E48" s="1" t="s">
        <v>447</v>
      </c>
      <c r="F48" s="1" t="s">
        <v>5</v>
      </c>
    </row>
    <row r="49" spans="2:6" x14ac:dyDescent="0.25">
      <c r="B49" s="1"/>
      <c r="C49" s="1"/>
      <c r="D49" s="1"/>
      <c r="E49" s="1"/>
      <c r="F49" s="1"/>
    </row>
    <row r="50" spans="2:6" x14ac:dyDescent="0.25">
      <c r="B50" s="3" t="s">
        <v>6</v>
      </c>
      <c r="C50" s="1"/>
      <c r="D50" s="1"/>
      <c r="E50" s="1"/>
      <c r="F50" s="1"/>
    </row>
    <row r="51" spans="2:6" x14ac:dyDescent="0.25">
      <c r="B51" s="5" t="s">
        <v>7</v>
      </c>
      <c r="C51" s="1"/>
      <c r="D51" s="1"/>
      <c r="E51" s="1"/>
      <c r="F51" s="5">
        <v>2.0099999999999998</v>
      </c>
    </row>
    <row r="52" spans="2:6" x14ac:dyDescent="0.25">
      <c r="B52" s="5" t="s">
        <v>8</v>
      </c>
      <c r="C52" s="1"/>
      <c r="D52" s="1"/>
      <c r="E52" s="1"/>
      <c r="F52" s="5">
        <v>5.34</v>
      </c>
    </row>
    <row r="53" spans="2:6" ht="24.75" x14ac:dyDescent="0.25">
      <c r="B53" s="5" t="s">
        <v>11</v>
      </c>
      <c r="C53" s="1"/>
      <c r="D53" s="1"/>
      <c r="E53" s="1"/>
      <c r="F53" s="5">
        <v>0.55000000000000004</v>
      </c>
    </row>
    <row r="54" spans="2:6" ht="24.75" x14ac:dyDescent="0.25">
      <c r="B54" s="5" t="s">
        <v>12</v>
      </c>
      <c r="C54" s="1"/>
      <c r="D54" s="1"/>
      <c r="E54" s="1"/>
      <c r="F54" s="5">
        <v>0.53</v>
      </c>
    </row>
    <row r="55" spans="2:6" ht="24.75" x14ac:dyDescent="0.25">
      <c r="B55" s="5" t="s">
        <v>13</v>
      </c>
      <c r="C55" s="1"/>
      <c r="D55" s="1"/>
      <c r="E55" s="1"/>
      <c r="F55" s="5">
        <v>0.19</v>
      </c>
    </row>
    <row r="56" spans="2:6" ht="24.75" x14ac:dyDescent="0.25">
      <c r="B56" s="5" t="s">
        <v>14</v>
      </c>
      <c r="C56" s="1"/>
      <c r="D56" s="1"/>
      <c r="E56" s="1"/>
      <c r="F56" s="5">
        <v>1.25</v>
      </c>
    </row>
    <row r="57" spans="2:6" ht="24.75" x14ac:dyDescent="0.25">
      <c r="B57" s="5" t="s">
        <v>9</v>
      </c>
      <c r="C57" s="1"/>
      <c r="D57" s="1"/>
      <c r="E57" s="1"/>
      <c r="F57" s="5">
        <v>0.26</v>
      </c>
    </row>
    <row r="58" spans="2:6" ht="24.75" x14ac:dyDescent="0.25">
      <c r="B58" s="5" t="s">
        <v>15</v>
      </c>
      <c r="C58" s="1"/>
      <c r="D58" s="1"/>
      <c r="E58" s="1"/>
      <c r="F58" s="5">
        <v>0.27</v>
      </c>
    </row>
    <row r="59" spans="2:6" ht="24.75" x14ac:dyDescent="0.25">
      <c r="B59" s="5" t="s">
        <v>16</v>
      </c>
      <c r="C59" s="1"/>
      <c r="D59" s="1"/>
      <c r="E59" s="1"/>
      <c r="F59" s="5">
        <v>0.28999999999999998</v>
      </c>
    </row>
    <row r="60" spans="2:6" x14ac:dyDescent="0.25">
      <c r="B60" s="5" t="s">
        <v>17</v>
      </c>
      <c r="C60" s="1"/>
      <c r="D60" s="1"/>
      <c r="E60" s="1"/>
      <c r="F60" s="5">
        <v>0.32</v>
      </c>
    </row>
    <row r="61" spans="2:6" x14ac:dyDescent="0.25">
      <c r="B61" s="5" t="s">
        <v>18</v>
      </c>
      <c r="C61" s="1"/>
      <c r="D61" s="1"/>
      <c r="E61" s="1"/>
      <c r="F61" s="5">
        <v>1.97</v>
      </c>
    </row>
    <row r="62" spans="2:6" x14ac:dyDescent="0.25">
      <c r="B62" s="5" t="s">
        <v>19</v>
      </c>
      <c r="C62" s="1"/>
      <c r="D62" s="1"/>
      <c r="E62" s="1"/>
      <c r="F62" s="5">
        <v>3.95</v>
      </c>
    </row>
    <row r="63" spans="2:6" x14ac:dyDescent="0.25">
      <c r="B63" s="10" t="s">
        <v>20</v>
      </c>
      <c r="C63" s="1"/>
      <c r="D63" s="1"/>
      <c r="E63" s="1"/>
      <c r="F63" s="4">
        <f>SUM(F51:F62)</f>
        <v>16.93</v>
      </c>
    </row>
    <row r="64" spans="2:6" x14ac:dyDescent="0.25">
      <c r="B64" s="3" t="s">
        <v>21</v>
      </c>
      <c r="C64" s="1"/>
      <c r="D64" s="1"/>
      <c r="E64" s="1"/>
      <c r="F64" s="1"/>
    </row>
    <row r="65" spans="2:6" x14ac:dyDescent="0.25">
      <c r="B65" s="1" t="s">
        <v>317</v>
      </c>
      <c r="C65" s="1" t="s">
        <v>256</v>
      </c>
      <c r="D65" s="1">
        <v>2</v>
      </c>
      <c r="E65" s="1">
        <v>90</v>
      </c>
      <c r="F65" s="24">
        <f>E65/954.6*1000/12</f>
        <v>7.8566939032055316</v>
      </c>
    </row>
    <row r="66" spans="2:6" x14ac:dyDescent="0.25">
      <c r="B66" s="1" t="s">
        <v>326</v>
      </c>
      <c r="C66" s="1" t="s">
        <v>26</v>
      </c>
      <c r="D66" s="1">
        <v>50</v>
      </c>
      <c r="E66" s="1">
        <v>75</v>
      </c>
      <c r="F66" s="24">
        <f t="shared" ref="F66:F77" si="1">E66/954.6*1000/12</f>
        <v>6.5472449193379418</v>
      </c>
    </row>
    <row r="67" spans="2:6" x14ac:dyDescent="0.25">
      <c r="B67" s="1" t="s">
        <v>327</v>
      </c>
      <c r="C67" s="1" t="s">
        <v>261</v>
      </c>
      <c r="D67" s="1">
        <v>160</v>
      </c>
      <c r="E67" s="1">
        <v>130</v>
      </c>
      <c r="F67" s="24">
        <f t="shared" si="1"/>
        <v>11.348557860185766</v>
      </c>
    </row>
    <row r="68" spans="2:6" x14ac:dyDescent="0.25">
      <c r="B68" s="1" t="s">
        <v>334</v>
      </c>
      <c r="C68" s="1" t="s">
        <v>265</v>
      </c>
      <c r="D68" s="1">
        <v>2</v>
      </c>
      <c r="E68" s="1">
        <v>20</v>
      </c>
      <c r="F68" s="24">
        <f t="shared" si="1"/>
        <v>1.7459319784901179</v>
      </c>
    </row>
    <row r="69" spans="2:6" x14ac:dyDescent="0.25">
      <c r="B69" s="1" t="s">
        <v>275</v>
      </c>
      <c r="C69" s="1" t="s">
        <v>26</v>
      </c>
      <c r="D69" s="1">
        <v>80</v>
      </c>
      <c r="E69" s="1">
        <v>120</v>
      </c>
      <c r="F69" s="24">
        <f t="shared" si="1"/>
        <v>10.475591870940708</v>
      </c>
    </row>
    <row r="70" spans="2:6" x14ac:dyDescent="0.25">
      <c r="B70" s="1" t="s">
        <v>330</v>
      </c>
      <c r="C70" s="1" t="s">
        <v>261</v>
      </c>
      <c r="D70" s="1">
        <v>90</v>
      </c>
      <c r="E70" s="1">
        <v>117</v>
      </c>
      <c r="F70" s="24">
        <f t="shared" si="1"/>
        <v>10.213702074167189</v>
      </c>
    </row>
    <row r="71" spans="2:6" x14ac:dyDescent="0.25">
      <c r="B71" s="1" t="s">
        <v>319</v>
      </c>
      <c r="C71" s="1" t="s">
        <v>261</v>
      </c>
      <c r="D71" s="1">
        <v>45</v>
      </c>
      <c r="E71" s="1">
        <v>58.5</v>
      </c>
      <c r="F71" s="24">
        <f t="shared" si="1"/>
        <v>5.1068510370835947</v>
      </c>
    </row>
    <row r="72" spans="2:6" x14ac:dyDescent="0.25">
      <c r="B72" s="1" t="s">
        <v>320</v>
      </c>
      <c r="C72" s="1" t="s">
        <v>261</v>
      </c>
      <c r="D72" s="1">
        <v>56</v>
      </c>
      <c r="E72" s="1">
        <v>106.4</v>
      </c>
      <c r="F72" s="24">
        <f t="shared" si="1"/>
        <v>9.288358125567429</v>
      </c>
    </row>
    <row r="73" spans="2:6" x14ac:dyDescent="0.25">
      <c r="B73" s="1" t="s">
        <v>325</v>
      </c>
      <c r="C73" s="1" t="s">
        <v>261</v>
      </c>
      <c r="D73" s="1">
        <v>48</v>
      </c>
      <c r="E73" s="1">
        <v>91.2</v>
      </c>
      <c r="F73" s="24">
        <f t="shared" si="1"/>
        <v>7.961449821914937</v>
      </c>
    </row>
    <row r="74" spans="2:6" x14ac:dyDescent="0.25">
      <c r="B74" s="1" t="s">
        <v>321</v>
      </c>
      <c r="C74" s="1" t="s">
        <v>256</v>
      </c>
      <c r="D74" s="1">
        <v>1</v>
      </c>
      <c r="E74" s="1">
        <v>80</v>
      </c>
      <c r="F74" s="24">
        <f t="shared" si="1"/>
        <v>6.9837279139604718</v>
      </c>
    </row>
    <row r="75" spans="2:6" x14ac:dyDescent="0.25">
      <c r="B75" s="1"/>
      <c r="C75" s="1"/>
      <c r="D75" s="1"/>
      <c r="E75" s="1"/>
      <c r="F75" s="24"/>
    </row>
    <row r="76" spans="2:6" x14ac:dyDescent="0.25">
      <c r="B76" s="1" t="s">
        <v>322</v>
      </c>
      <c r="C76" s="1" t="s">
        <v>261</v>
      </c>
      <c r="D76" s="1">
        <v>120</v>
      </c>
      <c r="E76" s="1">
        <v>144</v>
      </c>
      <c r="F76" s="24">
        <f t="shared" si="1"/>
        <v>12.570710245128849</v>
      </c>
    </row>
    <row r="77" spans="2:6" x14ac:dyDescent="0.25">
      <c r="B77" s="1" t="s">
        <v>323</v>
      </c>
      <c r="C77" s="1" t="s">
        <v>261</v>
      </c>
      <c r="D77" s="1">
        <v>160</v>
      </c>
      <c r="E77" s="1">
        <v>160</v>
      </c>
      <c r="F77" s="24">
        <f t="shared" si="1"/>
        <v>13.967455827920944</v>
      </c>
    </row>
    <row r="78" spans="2:6" x14ac:dyDescent="0.25">
      <c r="B78" s="10" t="s">
        <v>20</v>
      </c>
      <c r="C78" s="1"/>
      <c r="D78" s="1"/>
      <c r="E78" s="4">
        <f>SUM(E65:E77)</f>
        <v>1192.0999999999999</v>
      </c>
      <c r="F78" s="22">
        <f>SUM(F65:F77)</f>
        <v>104.06627557790348</v>
      </c>
    </row>
    <row r="79" spans="2:6" x14ac:dyDescent="0.25">
      <c r="B79" s="4" t="s">
        <v>22</v>
      </c>
      <c r="C79" s="6"/>
      <c r="D79" s="6"/>
      <c r="E79" s="6"/>
      <c r="F79" s="23">
        <f>F63+F78</f>
        <v>120.99627557790348</v>
      </c>
    </row>
    <row r="80" spans="2:6" x14ac:dyDescent="0.25">
      <c r="B80" s="7"/>
      <c r="C80" s="7"/>
      <c r="D80" s="7"/>
      <c r="E80" s="7"/>
      <c r="F80" s="7"/>
    </row>
    <row r="81" spans="2:6" x14ac:dyDescent="0.25">
      <c r="B81" s="13"/>
      <c r="C81" s="13"/>
      <c r="D81" s="13"/>
      <c r="E81" s="13"/>
      <c r="F81" s="13"/>
    </row>
    <row r="82" spans="2:6" x14ac:dyDescent="0.25">
      <c r="B82" s="13"/>
      <c r="C82" s="13"/>
      <c r="D82" s="13"/>
      <c r="E82" s="13"/>
      <c r="F82" s="13"/>
    </row>
    <row r="83" spans="2:6" x14ac:dyDescent="0.25">
      <c r="B83" s="39" t="s">
        <v>23</v>
      </c>
      <c r="C83" s="38"/>
      <c r="D83" s="38"/>
      <c r="E83" s="39" t="s">
        <v>24</v>
      </c>
      <c r="F83" s="38"/>
    </row>
    <row r="85" spans="2:6" ht="27" customHeight="1" x14ac:dyDescent="0.25">
      <c r="B85" s="37" t="s">
        <v>59</v>
      </c>
      <c r="C85" s="37"/>
      <c r="D85" s="37"/>
      <c r="E85" s="37"/>
      <c r="F85" s="37"/>
    </row>
    <row r="86" spans="2:6" ht="31.9" customHeight="1" x14ac:dyDescent="0.25">
      <c r="B86" s="37" t="s">
        <v>1</v>
      </c>
      <c r="C86" s="37"/>
      <c r="D86" s="37"/>
      <c r="E86" s="37"/>
      <c r="F86" s="37"/>
    </row>
    <row r="87" spans="2:6" x14ac:dyDescent="0.25">
      <c r="B87" s="14" t="s">
        <v>0</v>
      </c>
      <c r="C87" s="14"/>
      <c r="D87" s="14"/>
      <c r="E87" s="14"/>
      <c r="F87" s="14"/>
    </row>
    <row r="88" spans="2:6" x14ac:dyDescent="0.25">
      <c r="B88" s="12"/>
      <c r="C88" s="38" t="s">
        <v>25</v>
      </c>
      <c r="D88" s="38"/>
      <c r="E88" s="12">
        <v>468.2</v>
      </c>
      <c r="F88" s="12" t="s">
        <v>26</v>
      </c>
    </row>
    <row r="90" spans="2:6" ht="60" x14ac:dyDescent="0.25">
      <c r="B90" s="1" t="s">
        <v>2</v>
      </c>
      <c r="C90" s="1" t="s">
        <v>4</v>
      </c>
      <c r="D90" s="1" t="s">
        <v>3</v>
      </c>
      <c r="E90" s="1" t="s">
        <v>447</v>
      </c>
      <c r="F90" s="1" t="s">
        <v>5</v>
      </c>
    </row>
    <row r="91" spans="2:6" x14ac:dyDescent="0.25">
      <c r="B91" s="1"/>
      <c r="C91" s="1"/>
      <c r="D91" s="1"/>
      <c r="E91" s="1"/>
      <c r="F91" s="1"/>
    </row>
    <row r="92" spans="2:6" x14ac:dyDescent="0.25">
      <c r="B92" s="3" t="s">
        <v>6</v>
      </c>
      <c r="C92" s="1"/>
      <c r="D92" s="1"/>
      <c r="E92" s="1"/>
      <c r="F92" s="1"/>
    </row>
    <row r="93" spans="2:6" x14ac:dyDescent="0.25">
      <c r="B93" s="5" t="s">
        <v>7</v>
      </c>
      <c r="C93" s="1"/>
      <c r="D93" s="1"/>
      <c r="E93" s="1"/>
      <c r="F93" s="5">
        <v>2.0099999999999998</v>
      </c>
    </row>
    <row r="94" spans="2:6" x14ac:dyDescent="0.25">
      <c r="B94" s="5" t="s">
        <v>8</v>
      </c>
      <c r="C94" s="1"/>
      <c r="D94" s="1"/>
      <c r="E94" s="1"/>
      <c r="F94" s="5">
        <v>5.34</v>
      </c>
    </row>
    <row r="95" spans="2:6" ht="24.75" x14ac:dyDescent="0.25">
      <c r="B95" s="5" t="s">
        <v>11</v>
      </c>
      <c r="C95" s="1"/>
      <c r="D95" s="1"/>
      <c r="E95" s="1"/>
      <c r="F95" s="5">
        <v>0.55000000000000004</v>
      </c>
    </row>
    <row r="96" spans="2:6" ht="24.75" x14ac:dyDescent="0.25">
      <c r="B96" s="5" t="s">
        <v>12</v>
      </c>
      <c r="C96" s="1"/>
      <c r="D96" s="1"/>
      <c r="E96" s="1"/>
      <c r="F96" s="5">
        <v>0.53</v>
      </c>
    </row>
    <row r="97" spans="2:6" ht="24.75" x14ac:dyDescent="0.25">
      <c r="B97" s="5" t="s">
        <v>13</v>
      </c>
      <c r="C97" s="1"/>
      <c r="D97" s="1"/>
      <c r="E97" s="1"/>
      <c r="F97" s="5">
        <v>0.19</v>
      </c>
    </row>
    <row r="98" spans="2:6" ht="24.75" x14ac:dyDescent="0.25">
      <c r="B98" s="5" t="s">
        <v>14</v>
      </c>
      <c r="C98" s="1"/>
      <c r="D98" s="1"/>
      <c r="E98" s="1"/>
      <c r="F98" s="5">
        <v>1.25</v>
      </c>
    </row>
    <row r="99" spans="2:6" ht="24.75" x14ac:dyDescent="0.25">
      <c r="B99" s="5" t="s">
        <v>9</v>
      </c>
      <c r="C99" s="1"/>
      <c r="D99" s="1"/>
      <c r="E99" s="1"/>
      <c r="F99" s="5">
        <v>0.26</v>
      </c>
    </row>
    <row r="100" spans="2:6" ht="24.75" x14ac:dyDescent="0.25">
      <c r="B100" s="5" t="s">
        <v>15</v>
      </c>
      <c r="C100" s="1"/>
      <c r="D100" s="1"/>
      <c r="E100" s="1"/>
      <c r="F100" s="5">
        <v>0.27</v>
      </c>
    </row>
    <row r="101" spans="2:6" ht="24.75" x14ac:dyDescent="0.25">
      <c r="B101" s="5" t="s">
        <v>16</v>
      </c>
      <c r="C101" s="1"/>
      <c r="D101" s="1"/>
      <c r="E101" s="1"/>
      <c r="F101" s="5">
        <v>0.28999999999999998</v>
      </c>
    </row>
    <row r="102" spans="2:6" x14ac:dyDescent="0.25">
      <c r="B102" s="5" t="s">
        <v>17</v>
      </c>
      <c r="C102" s="1"/>
      <c r="D102" s="1"/>
      <c r="E102" s="1"/>
      <c r="F102" s="5">
        <v>0.32</v>
      </c>
    </row>
    <row r="103" spans="2:6" x14ac:dyDescent="0.25">
      <c r="B103" s="5" t="s">
        <v>18</v>
      </c>
      <c r="C103" s="1"/>
      <c r="D103" s="1"/>
      <c r="E103" s="1"/>
      <c r="F103" s="5">
        <v>1.97</v>
      </c>
    </row>
    <row r="104" spans="2:6" x14ac:dyDescent="0.25">
      <c r="B104" s="5" t="s">
        <v>19</v>
      </c>
      <c r="C104" s="1"/>
      <c r="D104" s="1"/>
      <c r="E104" s="1"/>
      <c r="F104" s="5">
        <v>3.95</v>
      </c>
    </row>
    <row r="105" spans="2:6" x14ac:dyDescent="0.25">
      <c r="B105" s="10" t="s">
        <v>20</v>
      </c>
      <c r="C105" s="1"/>
      <c r="D105" s="1"/>
      <c r="E105" s="1"/>
      <c r="F105" s="4">
        <f>SUM(F93:F104)</f>
        <v>16.93</v>
      </c>
    </row>
    <row r="106" spans="2:6" x14ac:dyDescent="0.25">
      <c r="B106" s="3" t="s">
        <v>21</v>
      </c>
      <c r="C106" s="1"/>
      <c r="D106" s="1"/>
      <c r="E106" s="1"/>
      <c r="F106" s="1"/>
    </row>
    <row r="107" spans="2:6" x14ac:dyDescent="0.25">
      <c r="B107" s="1" t="s">
        <v>326</v>
      </c>
      <c r="C107" s="1" t="s">
        <v>26</v>
      </c>
      <c r="D107" s="1">
        <v>20</v>
      </c>
      <c r="E107" s="1">
        <v>30</v>
      </c>
      <c r="F107" s="24">
        <f>E107/468.2*1000/12</f>
        <v>5.3395984621956423</v>
      </c>
    </row>
    <row r="108" spans="2:6" x14ac:dyDescent="0.25">
      <c r="B108" s="1" t="s">
        <v>327</v>
      </c>
      <c r="C108" s="1" t="s">
        <v>261</v>
      </c>
      <c r="D108" s="1">
        <v>121</v>
      </c>
      <c r="E108" s="1">
        <v>103</v>
      </c>
      <c r="F108" s="24">
        <f t="shared" ref="F108:F119" si="2">E108/468.2*1000/12</f>
        <v>18.332621386871708</v>
      </c>
    </row>
    <row r="109" spans="2:6" x14ac:dyDescent="0.25">
      <c r="B109" s="1" t="s">
        <v>361</v>
      </c>
      <c r="C109" s="1" t="s">
        <v>265</v>
      </c>
      <c r="D109" s="1">
        <v>1</v>
      </c>
      <c r="E109" s="1">
        <v>10</v>
      </c>
      <c r="F109" s="24">
        <f t="shared" si="2"/>
        <v>1.7798661540652143</v>
      </c>
    </row>
    <row r="110" spans="2:6" x14ac:dyDescent="0.25">
      <c r="B110" s="1" t="s">
        <v>275</v>
      </c>
      <c r="C110" s="1" t="s">
        <v>26</v>
      </c>
      <c r="D110" s="1">
        <v>77</v>
      </c>
      <c r="E110" s="1">
        <v>115.5</v>
      </c>
      <c r="F110" s="24">
        <f t="shared" si="2"/>
        <v>20.557454079453226</v>
      </c>
    </row>
    <row r="111" spans="2:6" x14ac:dyDescent="0.25">
      <c r="B111" s="1" t="s">
        <v>329</v>
      </c>
      <c r="C111" s="1" t="s">
        <v>26</v>
      </c>
      <c r="D111" s="1">
        <v>40</v>
      </c>
      <c r="E111" s="1">
        <v>20</v>
      </c>
      <c r="F111" s="24">
        <f t="shared" si="2"/>
        <v>3.5597323081304286</v>
      </c>
    </row>
    <row r="112" spans="2:6" x14ac:dyDescent="0.25">
      <c r="B112" s="1" t="s">
        <v>382</v>
      </c>
      <c r="C112" s="1" t="s">
        <v>261</v>
      </c>
      <c r="D112" s="1">
        <v>36</v>
      </c>
      <c r="E112" s="1">
        <v>46.8</v>
      </c>
      <c r="F112" s="24">
        <f t="shared" si="2"/>
        <v>8.3297736010252024</v>
      </c>
    </row>
    <row r="113" spans="2:6" x14ac:dyDescent="0.25">
      <c r="B113" s="1" t="s">
        <v>319</v>
      </c>
      <c r="C113" s="1" t="s">
        <v>261</v>
      </c>
      <c r="D113" s="1">
        <v>18</v>
      </c>
      <c r="E113" s="1">
        <v>23.4</v>
      </c>
      <c r="F113" s="24">
        <f t="shared" si="2"/>
        <v>4.1648868005126012</v>
      </c>
    </row>
    <row r="114" spans="2:6" x14ac:dyDescent="0.25">
      <c r="B114" s="1" t="s">
        <v>320</v>
      </c>
      <c r="C114" s="1" t="s">
        <v>261</v>
      </c>
      <c r="D114" s="1">
        <v>30</v>
      </c>
      <c r="E114" s="1">
        <v>57</v>
      </c>
      <c r="F114" s="24">
        <f t="shared" si="2"/>
        <v>10.145237078171721</v>
      </c>
    </row>
    <row r="115" spans="2:6" x14ac:dyDescent="0.25">
      <c r="B115" s="1" t="s">
        <v>325</v>
      </c>
      <c r="C115" s="1" t="s">
        <v>261</v>
      </c>
      <c r="D115" s="1">
        <v>24</v>
      </c>
      <c r="E115" s="1">
        <v>45.6</v>
      </c>
      <c r="F115" s="24">
        <f t="shared" si="2"/>
        <v>8.1161896625373782</v>
      </c>
    </row>
    <row r="116" spans="2:6" x14ac:dyDescent="0.25">
      <c r="B116" s="1" t="s">
        <v>343</v>
      </c>
      <c r="C116" s="1" t="s">
        <v>256</v>
      </c>
      <c r="D116" s="1">
        <v>1</v>
      </c>
      <c r="E116" s="1">
        <v>75</v>
      </c>
      <c r="F116" s="24">
        <f t="shared" si="2"/>
        <v>13.348996155489106</v>
      </c>
    </row>
    <row r="117" spans="2:6" x14ac:dyDescent="0.25">
      <c r="B117" s="1" t="s">
        <v>419</v>
      </c>
      <c r="C117" s="1" t="s">
        <v>265</v>
      </c>
      <c r="D117" s="1">
        <v>4</v>
      </c>
      <c r="E117" s="1">
        <v>40</v>
      </c>
      <c r="F117" s="24">
        <f t="shared" si="2"/>
        <v>7.1194646162608572</v>
      </c>
    </row>
    <row r="118" spans="2:6" x14ac:dyDescent="0.25">
      <c r="B118" s="1" t="s">
        <v>322</v>
      </c>
      <c r="C118" s="1" t="s">
        <v>261</v>
      </c>
      <c r="D118" s="1">
        <v>120</v>
      </c>
      <c r="E118" s="1">
        <v>144</v>
      </c>
      <c r="F118" s="24">
        <f t="shared" si="2"/>
        <v>25.630072618539085</v>
      </c>
    </row>
    <row r="119" spans="2:6" x14ac:dyDescent="0.25">
      <c r="B119" s="1" t="s">
        <v>323</v>
      </c>
      <c r="C119" s="1" t="s">
        <v>261</v>
      </c>
      <c r="D119" s="1">
        <v>160</v>
      </c>
      <c r="E119" s="1">
        <v>160</v>
      </c>
      <c r="F119" s="24">
        <f t="shared" si="2"/>
        <v>28.477858465043429</v>
      </c>
    </row>
    <row r="120" spans="2:6" x14ac:dyDescent="0.25">
      <c r="B120" s="10" t="s">
        <v>20</v>
      </c>
      <c r="C120" s="1"/>
      <c r="D120" s="1"/>
      <c r="E120" s="4">
        <f>SUM(E107:E119)</f>
        <v>870.3</v>
      </c>
      <c r="F120" s="22">
        <f>SUM(F107:F119)</f>
        <v>154.90175138829559</v>
      </c>
    </row>
    <row r="121" spans="2:6" x14ac:dyDescent="0.25">
      <c r="B121" s="4" t="s">
        <v>22</v>
      </c>
      <c r="C121" s="6"/>
      <c r="D121" s="6"/>
      <c r="E121" s="6"/>
      <c r="F121" s="23">
        <f>F105+F120</f>
        <v>171.8317513882956</v>
      </c>
    </row>
    <row r="122" spans="2:6" x14ac:dyDescent="0.25">
      <c r="B122" s="7"/>
      <c r="C122" s="7"/>
      <c r="D122" s="7"/>
      <c r="E122" s="7"/>
      <c r="F122" s="7"/>
    </row>
    <row r="123" spans="2:6" x14ac:dyDescent="0.25">
      <c r="B123" s="13"/>
      <c r="C123" s="13"/>
      <c r="D123" s="13"/>
      <c r="E123" s="13"/>
      <c r="F123" s="13"/>
    </row>
    <row r="124" spans="2:6" x14ac:dyDescent="0.25">
      <c r="B124" s="13"/>
      <c r="C124" s="13"/>
      <c r="D124" s="13"/>
      <c r="E124" s="13"/>
      <c r="F124" s="13"/>
    </row>
    <row r="125" spans="2:6" x14ac:dyDescent="0.25">
      <c r="B125" s="39" t="s">
        <v>23</v>
      </c>
      <c r="C125" s="38"/>
      <c r="D125" s="38"/>
      <c r="E125" s="39" t="s">
        <v>24</v>
      </c>
      <c r="F125" s="38"/>
    </row>
  </sheetData>
  <mergeCells count="15">
    <mergeCell ref="B43:F43"/>
    <mergeCell ref="B1:F1"/>
    <mergeCell ref="B2:F2"/>
    <mergeCell ref="C4:D4"/>
    <mergeCell ref="B41:D41"/>
    <mergeCell ref="E41:F41"/>
    <mergeCell ref="C88:D88"/>
    <mergeCell ref="B125:D125"/>
    <mergeCell ref="E125:F125"/>
    <mergeCell ref="B44:F44"/>
    <mergeCell ref="C46:D46"/>
    <mergeCell ref="B83:D83"/>
    <mergeCell ref="E83:F83"/>
    <mergeCell ref="B85:F85"/>
    <mergeCell ref="B86:F8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36"/>
  <sheetViews>
    <sheetView topLeftCell="A343" workbookViewId="0">
      <selection activeCell="H328" sqref="H328"/>
    </sheetView>
  </sheetViews>
  <sheetFormatPr defaultRowHeight="15" x14ac:dyDescent="0.25"/>
  <cols>
    <col min="2" max="2" width="35.7109375" customWidth="1"/>
    <col min="6" max="6" width="11.42578125" bestFit="1" customWidth="1"/>
  </cols>
  <sheetData>
    <row r="1" spans="2:6" ht="29.45" customHeight="1" x14ac:dyDescent="0.25">
      <c r="B1" s="37" t="s">
        <v>60</v>
      </c>
      <c r="C1" s="37"/>
      <c r="D1" s="37"/>
      <c r="E1" s="37"/>
      <c r="F1" s="37"/>
    </row>
    <row r="2" spans="2:6" ht="35.450000000000003" customHeight="1" x14ac:dyDescent="0.25">
      <c r="B2" s="37" t="s">
        <v>1</v>
      </c>
      <c r="C2" s="37"/>
      <c r="D2" s="37"/>
      <c r="E2" s="37"/>
      <c r="F2" s="37"/>
    </row>
    <row r="3" spans="2:6" x14ac:dyDescent="0.25">
      <c r="B3" s="14" t="s">
        <v>0</v>
      </c>
      <c r="C3" s="14"/>
      <c r="D3" s="14"/>
      <c r="E3" s="14"/>
      <c r="F3" s="14"/>
    </row>
    <row r="4" spans="2:6" x14ac:dyDescent="0.25">
      <c r="B4" s="12"/>
      <c r="C4" s="38" t="s">
        <v>25</v>
      </c>
      <c r="D4" s="38"/>
      <c r="E4" s="12">
        <v>458.2</v>
      </c>
      <c r="F4" s="12" t="s">
        <v>26</v>
      </c>
    </row>
    <row r="6" spans="2:6" ht="60" x14ac:dyDescent="0.25">
      <c r="B6" s="1" t="s">
        <v>2</v>
      </c>
      <c r="C6" s="1" t="s">
        <v>4</v>
      </c>
      <c r="D6" s="1" t="s">
        <v>3</v>
      </c>
      <c r="E6" s="1" t="s">
        <v>447</v>
      </c>
      <c r="F6" s="1" t="s">
        <v>5</v>
      </c>
    </row>
    <row r="7" spans="2:6" x14ac:dyDescent="0.25">
      <c r="B7" s="1"/>
      <c r="C7" s="1"/>
      <c r="D7" s="1"/>
      <c r="E7" s="1"/>
      <c r="F7" s="1"/>
    </row>
    <row r="8" spans="2:6" x14ac:dyDescent="0.25">
      <c r="B8" s="3" t="s">
        <v>6</v>
      </c>
      <c r="C8" s="1"/>
      <c r="D8" s="1"/>
      <c r="E8" s="1"/>
      <c r="F8" s="1"/>
    </row>
    <row r="9" spans="2:6" x14ac:dyDescent="0.25">
      <c r="B9" s="5" t="s">
        <v>7</v>
      </c>
      <c r="C9" s="1"/>
      <c r="D9" s="1"/>
      <c r="E9" s="1"/>
      <c r="F9" s="5">
        <v>2.0099999999999998</v>
      </c>
    </row>
    <row r="10" spans="2:6" x14ac:dyDescent="0.25">
      <c r="B10" s="5" t="s">
        <v>8</v>
      </c>
      <c r="C10" s="1"/>
      <c r="D10" s="1"/>
      <c r="E10" s="1"/>
      <c r="F10" s="5">
        <v>5.34</v>
      </c>
    </row>
    <row r="11" spans="2:6" ht="24.75" x14ac:dyDescent="0.25">
      <c r="B11" s="5" t="s">
        <v>11</v>
      </c>
      <c r="C11" s="1"/>
      <c r="D11" s="1"/>
      <c r="E11" s="1"/>
      <c r="F11" s="5">
        <v>0.55000000000000004</v>
      </c>
    </row>
    <row r="12" spans="2:6" ht="24.75" x14ac:dyDescent="0.25">
      <c r="B12" s="5" t="s">
        <v>12</v>
      </c>
      <c r="C12" s="1"/>
      <c r="D12" s="1"/>
      <c r="E12" s="1"/>
      <c r="F12" s="5">
        <v>0.53</v>
      </c>
    </row>
    <row r="13" spans="2:6" ht="24.75" x14ac:dyDescent="0.25">
      <c r="B13" s="5" t="s">
        <v>13</v>
      </c>
      <c r="C13" s="1"/>
      <c r="D13" s="1"/>
      <c r="E13" s="1"/>
      <c r="F13" s="5">
        <v>0.19</v>
      </c>
    </row>
    <row r="14" spans="2:6" ht="24.75" x14ac:dyDescent="0.25">
      <c r="B14" s="5" t="s">
        <v>14</v>
      </c>
      <c r="C14" s="1"/>
      <c r="D14" s="1"/>
      <c r="E14" s="1"/>
      <c r="F14" s="5">
        <v>1.25</v>
      </c>
    </row>
    <row r="15" spans="2:6" ht="24.75" x14ac:dyDescent="0.25">
      <c r="B15" s="5" t="s">
        <v>9</v>
      </c>
      <c r="C15" s="1"/>
      <c r="D15" s="1"/>
      <c r="E15" s="1"/>
      <c r="F15" s="5">
        <v>0.26</v>
      </c>
    </row>
    <row r="16" spans="2:6" ht="24.75" x14ac:dyDescent="0.25">
      <c r="B16" s="5" t="s">
        <v>15</v>
      </c>
      <c r="C16" s="1"/>
      <c r="D16" s="1"/>
      <c r="E16" s="1"/>
      <c r="F16" s="5">
        <v>0.27</v>
      </c>
    </row>
    <row r="17" spans="2:6" ht="24.75" x14ac:dyDescent="0.25">
      <c r="B17" s="5" t="s">
        <v>16</v>
      </c>
      <c r="C17" s="1"/>
      <c r="D17" s="1"/>
      <c r="E17" s="1"/>
      <c r="F17" s="5">
        <v>0.28999999999999998</v>
      </c>
    </row>
    <row r="18" spans="2:6" x14ac:dyDescent="0.25">
      <c r="B18" s="5" t="s">
        <v>17</v>
      </c>
      <c r="C18" s="1"/>
      <c r="D18" s="1"/>
      <c r="E18" s="1"/>
      <c r="F18" s="5">
        <v>0.32</v>
      </c>
    </row>
    <row r="19" spans="2:6" x14ac:dyDescent="0.25">
      <c r="B19" s="5" t="s">
        <v>18</v>
      </c>
      <c r="C19" s="1"/>
      <c r="D19" s="1"/>
      <c r="E19" s="1"/>
      <c r="F19" s="5">
        <v>1.97</v>
      </c>
    </row>
    <row r="20" spans="2:6" x14ac:dyDescent="0.25">
      <c r="B20" s="5" t="s">
        <v>19</v>
      </c>
      <c r="C20" s="1"/>
      <c r="D20" s="1"/>
      <c r="E20" s="1"/>
      <c r="F20" s="5">
        <v>3.95</v>
      </c>
    </row>
    <row r="21" spans="2:6" x14ac:dyDescent="0.25">
      <c r="B21" s="10" t="s">
        <v>20</v>
      </c>
      <c r="C21" s="1"/>
      <c r="D21" s="1"/>
      <c r="E21" s="1"/>
      <c r="F21" s="4">
        <f>SUM(F9:F20)</f>
        <v>16.93</v>
      </c>
    </row>
    <row r="22" spans="2:6" x14ac:dyDescent="0.25">
      <c r="B22" s="3" t="s">
        <v>21</v>
      </c>
      <c r="C22" s="1"/>
      <c r="D22" s="1"/>
      <c r="E22" s="1"/>
      <c r="F22" s="1"/>
    </row>
    <row r="23" spans="2:6" x14ac:dyDescent="0.25">
      <c r="B23" s="1" t="s">
        <v>317</v>
      </c>
      <c r="C23" s="1" t="s">
        <v>256</v>
      </c>
      <c r="D23" s="1">
        <v>2</v>
      </c>
      <c r="E23" s="1">
        <v>90</v>
      </c>
      <c r="F23" s="24">
        <f>E23/458.2*1000/12</f>
        <v>16.368398079441295</v>
      </c>
    </row>
    <row r="24" spans="2:6" x14ac:dyDescent="0.25">
      <c r="B24" s="1" t="s">
        <v>326</v>
      </c>
      <c r="C24" s="1" t="s">
        <v>26</v>
      </c>
      <c r="D24" s="1">
        <v>25</v>
      </c>
      <c r="E24" s="1">
        <v>37.5</v>
      </c>
      <c r="F24" s="24">
        <f t="shared" ref="F24:F35" si="0">E24/458.2*1000/12</f>
        <v>6.8201658664338716</v>
      </c>
    </row>
    <row r="25" spans="2:6" x14ac:dyDescent="0.25">
      <c r="B25" s="1" t="s">
        <v>327</v>
      </c>
      <c r="C25" s="1" t="s">
        <v>261</v>
      </c>
      <c r="D25" s="1">
        <v>138</v>
      </c>
      <c r="E25" s="1">
        <v>117</v>
      </c>
      <c r="F25" s="24">
        <f t="shared" si="0"/>
        <v>21.278917503273682</v>
      </c>
    </row>
    <row r="26" spans="2:6" x14ac:dyDescent="0.25">
      <c r="B26" s="1" t="s">
        <v>361</v>
      </c>
      <c r="C26" s="1" t="s">
        <v>265</v>
      </c>
      <c r="D26" s="1">
        <v>1</v>
      </c>
      <c r="E26" s="1">
        <v>10</v>
      </c>
      <c r="F26" s="24">
        <f t="shared" si="0"/>
        <v>1.8187108977156992</v>
      </c>
    </row>
    <row r="27" spans="2:6" x14ac:dyDescent="0.25">
      <c r="B27" s="1" t="s">
        <v>275</v>
      </c>
      <c r="C27" s="1" t="s">
        <v>26</v>
      </c>
      <c r="D27" s="1">
        <v>92</v>
      </c>
      <c r="E27" s="1">
        <v>138</v>
      </c>
      <c r="F27" s="24">
        <f t="shared" si="0"/>
        <v>25.098210388476648</v>
      </c>
    </row>
    <row r="28" spans="2:6" x14ac:dyDescent="0.25">
      <c r="B28" s="1" t="s">
        <v>335</v>
      </c>
      <c r="C28" s="1" t="s">
        <v>26</v>
      </c>
      <c r="D28" s="1">
        <v>84</v>
      </c>
      <c r="E28" s="1">
        <v>50.4</v>
      </c>
      <c r="F28" s="24">
        <f t="shared" si="0"/>
        <v>9.1663029244871232</v>
      </c>
    </row>
    <row r="29" spans="2:6" x14ac:dyDescent="0.25">
      <c r="B29" s="1" t="s">
        <v>319</v>
      </c>
      <c r="C29" s="1" t="s">
        <v>261</v>
      </c>
      <c r="D29" s="1">
        <v>32</v>
      </c>
      <c r="E29" s="1">
        <v>41.6</v>
      </c>
      <c r="F29" s="24">
        <f t="shared" si="0"/>
        <v>7.5658373344973091</v>
      </c>
    </row>
    <row r="30" spans="2:6" x14ac:dyDescent="0.25">
      <c r="B30" s="1" t="s">
        <v>320</v>
      </c>
      <c r="C30" s="1" t="s">
        <v>261</v>
      </c>
      <c r="D30" s="1">
        <v>38</v>
      </c>
      <c r="E30" s="1">
        <v>72.2</v>
      </c>
      <c r="F30" s="24">
        <f t="shared" si="0"/>
        <v>13.131092681507347</v>
      </c>
    </row>
    <row r="31" spans="2:6" x14ac:dyDescent="0.25">
      <c r="B31" s="1" t="s">
        <v>377</v>
      </c>
      <c r="C31" s="1" t="s">
        <v>261</v>
      </c>
      <c r="D31" s="1">
        <v>60</v>
      </c>
      <c r="E31" s="1">
        <v>114</v>
      </c>
      <c r="F31" s="24">
        <f t="shared" si="0"/>
        <v>20.733304233958972</v>
      </c>
    </row>
    <row r="32" spans="2:6" x14ac:dyDescent="0.25">
      <c r="B32" s="1" t="s">
        <v>339</v>
      </c>
      <c r="C32" s="1" t="s">
        <v>26</v>
      </c>
      <c r="D32" s="1">
        <v>4</v>
      </c>
      <c r="E32" s="1">
        <v>10</v>
      </c>
      <c r="F32" s="24">
        <f t="shared" si="0"/>
        <v>1.8187108977156992</v>
      </c>
    </row>
    <row r="33" spans="2:6" x14ac:dyDescent="0.25">
      <c r="B33" s="1" t="s">
        <v>322</v>
      </c>
      <c r="C33" s="1" t="s">
        <v>261</v>
      </c>
      <c r="D33" s="1">
        <v>120</v>
      </c>
      <c r="E33" s="1">
        <v>144</v>
      </c>
      <c r="F33" s="24">
        <f t="shared" si="0"/>
        <v>26.189436927106069</v>
      </c>
    </row>
    <row r="34" spans="2:6" x14ac:dyDescent="0.25">
      <c r="B34" s="1" t="s">
        <v>375</v>
      </c>
      <c r="C34" s="1" t="s">
        <v>261</v>
      </c>
      <c r="D34" s="1">
        <v>160</v>
      </c>
      <c r="E34" s="1">
        <v>160</v>
      </c>
      <c r="F34" s="24">
        <f t="shared" si="0"/>
        <v>29.099374363451187</v>
      </c>
    </row>
    <row r="35" spans="2:6" x14ac:dyDescent="0.25">
      <c r="B35" s="1" t="s">
        <v>367</v>
      </c>
      <c r="C35" s="1" t="s">
        <v>265</v>
      </c>
      <c r="D35" s="1">
        <v>2</v>
      </c>
      <c r="E35" s="1">
        <v>7</v>
      </c>
      <c r="F35" s="24">
        <f t="shared" si="0"/>
        <v>1.2730976284009896</v>
      </c>
    </row>
    <row r="36" spans="2:6" x14ac:dyDescent="0.25">
      <c r="B36" s="10" t="s">
        <v>20</v>
      </c>
      <c r="C36" s="1"/>
      <c r="D36" s="1"/>
      <c r="E36" s="4">
        <f>SUM(E23:E35)</f>
        <v>991.7</v>
      </c>
      <c r="F36" s="22">
        <f>SUM(F23:F35)</f>
        <v>180.36155972646588</v>
      </c>
    </row>
    <row r="37" spans="2:6" x14ac:dyDescent="0.25">
      <c r="B37" s="4" t="s">
        <v>22</v>
      </c>
      <c r="C37" s="6"/>
      <c r="D37" s="6"/>
      <c r="E37" s="6"/>
      <c r="F37" s="23">
        <f>F21+F36</f>
        <v>197.29155972646589</v>
      </c>
    </row>
    <row r="38" spans="2:6" x14ac:dyDescent="0.25">
      <c r="B38" s="7"/>
      <c r="C38" s="7"/>
      <c r="D38" s="7"/>
      <c r="E38" s="7"/>
      <c r="F38" s="7"/>
    </row>
    <row r="39" spans="2:6" x14ac:dyDescent="0.25">
      <c r="B39" s="13"/>
      <c r="C39" s="13"/>
      <c r="D39" s="13"/>
      <c r="E39" s="13"/>
      <c r="F39" s="13"/>
    </row>
    <row r="40" spans="2:6" x14ac:dyDescent="0.25">
      <c r="B40" s="13"/>
      <c r="C40" s="13"/>
      <c r="D40" s="13"/>
      <c r="E40" s="13"/>
      <c r="F40" s="13"/>
    </row>
    <row r="41" spans="2:6" x14ac:dyDescent="0.25">
      <c r="B41" s="39" t="s">
        <v>23</v>
      </c>
      <c r="C41" s="38"/>
      <c r="D41" s="38"/>
      <c r="E41" s="39" t="s">
        <v>24</v>
      </c>
      <c r="F41" s="38"/>
    </row>
    <row r="43" spans="2:6" ht="27.6" customHeight="1" x14ac:dyDescent="0.25">
      <c r="B43" s="37" t="s">
        <v>61</v>
      </c>
      <c r="C43" s="37"/>
      <c r="D43" s="37"/>
      <c r="E43" s="37"/>
      <c r="F43" s="37"/>
    </row>
    <row r="44" spans="2:6" ht="28.9" customHeight="1" x14ac:dyDescent="0.25">
      <c r="B44" s="37" t="s">
        <v>1</v>
      </c>
      <c r="C44" s="37"/>
      <c r="D44" s="37"/>
      <c r="E44" s="37"/>
      <c r="F44" s="37"/>
    </row>
    <row r="45" spans="2:6" x14ac:dyDescent="0.25">
      <c r="B45" s="14" t="s">
        <v>0</v>
      </c>
      <c r="C45" s="14"/>
      <c r="D45" s="14"/>
      <c r="E45" s="14"/>
      <c r="F45" s="14"/>
    </row>
    <row r="46" spans="2:6" x14ac:dyDescent="0.25">
      <c r="B46" s="12"/>
      <c r="C46" s="38" t="s">
        <v>25</v>
      </c>
      <c r="D46" s="38"/>
      <c r="E46" s="12">
        <v>954.4</v>
      </c>
      <c r="F46" s="12" t="s">
        <v>26</v>
      </c>
    </row>
    <row r="48" spans="2:6" ht="60" x14ac:dyDescent="0.25">
      <c r="B48" s="1" t="s">
        <v>2</v>
      </c>
      <c r="C48" s="1" t="s">
        <v>4</v>
      </c>
      <c r="D48" s="1" t="s">
        <v>3</v>
      </c>
      <c r="E48" s="1" t="s">
        <v>447</v>
      </c>
      <c r="F48" s="1" t="s">
        <v>5</v>
      </c>
    </row>
    <row r="49" spans="2:6" x14ac:dyDescent="0.25">
      <c r="B49" s="1"/>
      <c r="C49" s="1"/>
      <c r="D49" s="1"/>
      <c r="E49" s="1"/>
      <c r="F49" s="1"/>
    </row>
    <row r="50" spans="2:6" x14ac:dyDescent="0.25">
      <c r="B50" s="3" t="s">
        <v>6</v>
      </c>
      <c r="C50" s="1"/>
      <c r="D50" s="1"/>
      <c r="E50" s="1"/>
      <c r="F50" s="1"/>
    </row>
    <row r="51" spans="2:6" x14ac:dyDescent="0.25">
      <c r="B51" s="5" t="s">
        <v>7</v>
      </c>
      <c r="C51" s="1"/>
      <c r="D51" s="1"/>
      <c r="E51" s="1"/>
      <c r="F51" s="5">
        <v>2.0099999999999998</v>
      </c>
    </row>
    <row r="52" spans="2:6" x14ac:dyDescent="0.25">
      <c r="B52" s="5" t="s">
        <v>8</v>
      </c>
      <c r="C52" s="1"/>
      <c r="D52" s="1"/>
      <c r="E52" s="1"/>
      <c r="F52" s="5">
        <v>5.34</v>
      </c>
    </row>
    <row r="53" spans="2:6" x14ac:dyDescent="0.25">
      <c r="B53" s="15" t="s">
        <v>30</v>
      </c>
      <c r="C53" s="1"/>
      <c r="D53" s="1"/>
      <c r="E53" s="1"/>
      <c r="F53" s="5">
        <v>0.06</v>
      </c>
    </row>
    <row r="54" spans="2:6" ht="24.75" x14ac:dyDescent="0.25">
      <c r="B54" s="5" t="s">
        <v>11</v>
      </c>
      <c r="C54" s="1"/>
      <c r="D54" s="1"/>
      <c r="E54" s="1"/>
      <c r="F54" s="5">
        <v>0.55000000000000004</v>
      </c>
    </row>
    <row r="55" spans="2:6" ht="24.75" x14ac:dyDescent="0.25">
      <c r="B55" s="5" t="s">
        <v>12</v>
      </c>
      <c r="C55" s="1"/>
      <c r="D55" s="1"/>
      <c r="E55" s="1"/>
      <c r="F55" s="5">
        <v>0.53</v>
      </c>
    </row>
    <row r="56" spans="2:6" ht="24.75" x14ac:dyDescent="0.25">
      <c r="B56" s="5" t="s">
        <v>13</v>
      </c>
      <c r="C56" s="1"/>
      <c r="D56" s="1"/>
      <c r="E56" s="1"/>
      <c r="F56" s="5">
        <v>0.19</v>
      </c>
    </row>
    <row r="57" spans="2:6" ht="24.75" x14ac:dyDescent="0.25">
      <c r="B57" s="5" t="s">
        <v>14</v>
      </c>
      <c r="C57" s="1"/>
      <c r="D57" s="1"/>
      <c r="E57" s="1"/>
      <c r="F57" s="5">
        <v>1.25</v>
      </c>
    </row>
    <row r="58" spans="2:6" ht="24.75" x14ac:dyDescent="0.25">
      <c r="B58" s="5" t="s">
        <v>9</v>
      </c>
      <c r="C58" s="1"/>
      <c r="D58" s="1"/>
      <c r="E58" s="1"/>
      <c r="F58" s="5">
        <v>0.26</v>
      </c>
    </row>
    <row r="59" spans="2:6" ht="24.75" x14ac:dyDescent="0.25">
      <c r="B59" s="5" t="s">
        <v>15</v>
      </c>
      <c r="C59" s="1"/>
      <c r="D59" s="1"/>
      <c r="E59" s="1"/>
      <c r="F59" s="5">
        <v>0.27</v>
      </c>
    </row>
    <row r="60" spans="2:6" ht="24.75" x14ac:dyDescent="0.25">
      <c r="B60" s="5" t="s">
        <v>16</v>
      </c>
      <c r="C60" s="1"/>
      <c r="D60" s="1"/>
      <c r="E60" s="1"/>
      <c r="F60" s="5">
        <v>0.28999999999999998</v>
      </c>
    </row>
    <row r="61" spans="2:6" x14ac:dyDescent="0.25">
      <c r="B61" s="5" t="s">
        <v>17</v>
      </c>
      <c r="C61" s="1"/>
      <c r="D61" s="1"/>
      <c r="E61" s="1"/>
      <c r="F61" s="5">
        <v>0.32</v>
      </c>
    </row>
    <row r="62" spans="2:6" x14ac:dyDescent="0.25">
      <c r="B62" s="5" t="s">
        <v>18</v>
      </c>
      <c r="C62" s="1"/>
      <c r="D62" s="1"/>
      <c r="E62" s="1"/>
      <c r="F62" s="5">
        <v>1.97</v>
      </c>
    </row>
    <row r="63" spans="2:6" x14ac:dyDescent="0.25">
      <c r="B63" s="5" t="s">
        <v>19</v>
      </c>
      <c r="C63" s="1"/>
      <c r="D63" s="1"/>
      <c r="E63" s="1"/>
      <c r="F63" s="5">
        <v>3.95</v>
      </c>
    </row>
    <row r="64" spans="2:6" x14ac:dyDescent="0.25">
      <c r="B64" s="10" t="s">
        <v>20</v>
      </c>
      <c r="C64" s="1"/>
      <c r="D64" s="1"/>
      <c r="E64" s="1"/>
      <c r="F64" s="4">
        <f>SUM(F51:F63)</f>
        <v>16.989999999999998</v>
      </c>
    </row>
    <row r="65" spans="2:6" x14ac:dyDescent="0.25">
      <c r="B65" s="3" t="s">
        <v>21</v>
      </c>
      <c r="C65" s="1"/>
      <c r="D65" s="1"/>
      <c r="E65" s="1"/>
      <c r="F65" s="1"/>
    </row>
    <row r="66" spans="2:6" x14ac:dyDescent="0.25">
      <c r="B66" s="1" t="s">
        <v>317</v>
      </c>
      <c r="C66" s="1" t="s">
        <v>256</v>
      </c>
      <c r="D66" s="1">
        <v>1</v>
      </c>
      <c r="E66" s="1">
        <v>45</v>
      </c>
      <c r="F66" s="24">
        <f>E66/954.4*1000/12</f>
        <v>3.9291701592623642</v>
      </c>
    </row>
    <row r="67" spans="2:6" x14ac:dyDescent="0.25">
      <c r="B67" s="1" t="s">
        <v>369</v>
      </c>
      <c r="C67" s="1" t="s">
        <v>265</v>
      </c>
      <c r="D67" s="1">
        <v>0.33</v>
      </c>
      <c r="E67" s="1">
        <v>6.6</v>
      </c>
      <c r="F67" s="24">
        <f t="shared" ref="F67:F78" si="1">E67/954.4*1000/12</f>
        <v>0.57627829002514663</v>
      </c>
    </row>
    <row r="68" spans="2:6" x14ac:dyDescent="0.25">
      <c r="B68" s="1" t="s">
        <v>326</v>
      </c>
      <c r="C68" s="1" t="s">
        <v>26</v>
      </c>
      <c r="D68" s="1">
        <v>25</v>
      </c>
      <c r="E68" s="1">
        <v>37.5</v>
      </c>
      <c r="F68" s="24">
        <f t="shared" si="1"/>
        <v>3.2743084660519699</v>
      </c>
    </row>
    <row r="69" spans="2:6" x14ac:dyDescent="0.25">
      <c r="B69" s="1" t="s">
        <v>275</v>
      </c>
      <c r="C69" s="1" t="s">
        <v>26</v>
      </c>
      <c r="D69" s="1">
        <v>85</v>
      </c>
      <c r="E69" s="1">
        <v>127.5</v>
      </c>
      <c r="F69" s="24">
        <f t="shared" si="1"/>
        <v>11.132648784576697</v>
      </c>
    </row>
    <row r="70" spans="2:6" x14ac:dyDescent="0.25">
      <c r="B70" s="1" t="s">
        <v>329</v>
      </c>
      <c r="C70" s="1" t="s">
        <v>26</v>
      </c>
      <c r="D70" s="1">
        <v>40</v>
      </c>
      <c r="E70" s="1">
        <v>48</v>
      </c>
      <c r="F70" s="24">
        <f t="shared" si="1"/>
        <v>4.1911148365465216</v>
      </c>
    </row>
    <row r="71" spans="2:6" x14ac:dyDescent="0.25">
      <c r="B71" s="1" t="s">
        <v>319</v>
      </c>
      <c r="C71" s="1" t="s">
        <v>261</v>
      </c>
      <c r="D71" s="1">
        <v>40</v>
      </c>
      <c r="E71" s="1">
        <v>52</v>
      </c>
      <c r="F71" s="24">
        <f t="shared" si="1"/>
        <v>4.5403744062587315</v>
      </c>
    </row>
    <row r="72" spans="2:6" x14ac:dyDescent="0.25">
      <c r="B72" s="1" t="s">
        <v>320</v>
      </c>
      <c r="C72" s="1" t="s">
        <v>261</v>
      </c>
      <c r="D72" s="1">
        <v>40</v>
      </c>
      <c r="E72" s="1">
        <v>76</v>
      </c>
      <c r="F72" s="24">
        <f t="shared" si="1"/>
        <v>6.6359318245319932</v>
      </c>
    </row>
    <row r="73" spans="2:6" x14ac:dyDescent="0.25">
      <c r="B73" s="1" t="s">
        <v>378</v>
      </c>
      <c r="C73" s="1" t="s">
        <v>261</v>
      </c>
      <c r="D73" s="1">
        <v>66</v>
      </c>
      <c r="E73" s="1">
        <v>125.4</v>
      </c>
      <c r="F73" s="24">
        <f t="shared" si="1"/>
        <v>10.949287510477788</v>
      </c>
    </row>
    <row r="74" spans="2:6" x14ac:dyDescent="0.25">
      <c r="B74" s="1" t="s">
        <v>372</v>
      </c>
      <c r="C74" s="1"/>
      <c r="D74" s="1">
        <v>120</v>
      </c>
      <c r="E74" s="1">
        <v>144</v>
      </c>
      <c r="F74" s="24">
        <f t="shared" si="1"/>
        <v>12.573344509639563</v>
      </c>
    </row>
    <row r="75" spans="2:6" x14ac:dyDescent="0.25">
      <c r="B75" s="1" t="s">
        <v>375</v>
      </c>
      <c r="C75" s="1"/>
      <c r="D75" s="1">
        <v>190</v>
      </c>
      <c r="E75" s="1">
        <v>190</v>
      </c>
      <c r="F75" s="24">
        <f t="shared" si="1"/>
        <v>16.589829561329982</v>
      </c>
    </row>
    <row r="76" spans="2:6" x14ac:dyDescent="0.25">
      <c r="B76" s="1"/>
      <c r="C76" s="1"/>
      <c r="D76" s="1"/>
      <c r="E76" s="1"/>
      <c r="F76" s="24">
        <f t="shared" si="1"/>
        <v>0</v>
      </c>
    </row>
    <row r="77" spans="2:6" x14ac:dyDescent="0.25">
      <c r="B77" s="1"/>
      <c r="C77" s="1"/>
      <c r="D77" s="1"/>
      <c r="E77" s="1"/>
      <c r="F77" s="24">
        <f t="shared" si="1"/>
        <v>0</v>
      </c>
    </row>
    <row r="78" spans="2:6" x14ac:dyDescent="0.25">
      <c r="B78" s="1"/>
      <c r="C78" s="1"/>
      <c r="D78" s="1"/>
      <c r="E78" s="1"/>
      <c r="F78" s="24">
        <f t="shared" si="1"/>
        <v>0</v>
      </c>
    </row>
    <row r="79" spans="2:6" x14ac:dyDescent="0.25">
      <c r="B79" s="10" t="s">
        <v>20</v>
      </c>
      <c r="C79" s="1"/>
      <c r="D79" s="1"/>
      <c r="E79" s="4">
        <f>SUM(E66:E78)</f>
        <v>852</v>
      </c>
      <c r="F79" s="22">
        <f>SUM(F66:F78)</f>
        <v>74.39228834870076</v>
      </c>
    </row>
    <row r="80" spans="2:6" x14ac:dyDescent="0.25">
      <c r="B80" s="4" t="s">
        <v>22</v>
      </c>
      <c r="C80" s="6"/>
      <c r="D80" s="6"/>
      <c r="E80" s="6"/>
      <c r="F80" s="23">
        <f>F64+F79</f>
        <v>91.382288348700754</v>
      </c>
    </row>
    <row r="81" spans="2:6" x14ac:dyDescent="0.25">
      <c r="B81" s="7"/>
      <c r="C81" s="7"/>
      <c r="D81" s="7"/>
      <c r="E81" s="7"/>
      <c r="F81" s="7"/>
    </row>
    <row r="82" spans="2:6" x14ac:dyDescent="0.25">
      <c r="B82" s="13"/>
      <c r="C82" s="13"/>
      <c r="D82" s="13"/>
      <c r="E82" s="13"/>
      <c r="F82" s="13"/>
    </row>
    <row r="83" spans="2:6" x14ac:dyDescent="0.25">
      <c r="B83" s="13"/>
      <c r="C83" s="13"/>
      <c r="D83" s="13"/>
      <c r="E83" s="13"/>
      <c r="F83" s="13"/>
    </row>
    <row r="84" spans="2:6" x14ac:dyDescent="0.25">
      <c r="B84" s="39" t="s">
        <v>23</v>
      </c>
      <c r="C84" s="38"/>
      <c r="D84" s="38"/>
      <c r="E84" s="39" t="s">
        <v>24</v>
      </c>
      <c r="F84" s="38"/>
    </row>
    <row r="86" spans="2:6" ht="26.45" customHeight="1" x14ac:dyDescent="0.25">
      <c r="B86" s="37" t="s">
        <v>62</v>
      </c>
      <c r="C86" s="37"/>
      <c r="D86" s="37"/>
      <c r="E86" s="37"/>
      <c r="F86" s="37"/>
    </row>
    <row r="87" spans="2:6" ht="32.450000000000003" customHeight="1" x14ac:dyDescent="0.25">
      <c r="B87" s="37" t="s">
        <v>1</v>
      </c>
      <c r="C87" s="37"/>
      <c r="D87" s="37"/>
      <c r="E87" s="37"/>
      <c r="F87" s="37"/>
    </row>
    <row r="88" spans="2:6" x14ac:dyDescent="0.25">
      <c r="B88" s="14" t="s">
        <v>0</v>
      </c>
      <c r="C88" s="14"/>
      <c r="D88" s="14"/>
      <c r="E88" s="14"/>
      <c r="F88" s="14"/>
    </row>
    <row r="89" spans="2:6" x14ac:dyDescent="0.25">
      <c r="B89" s="12"/>
      <c r="C89" s="38" t="s">
        <v>25</v>
      </c>
      <c r="D89" s="38"/>
      <c r="E89" s="12">
        <v>450.1</v>
      </c>
      <c r="F89" s="12" t="s">
        <v>26</v>
      </c>
    </row>
    <row r="91" spans="2:6" ht="60" x14ac:dyDescent="0.25">
      <c r="B91" s="1" t="s">
        <v>2</v>
      </c>
      <c r="C91" s="1" t="s">
        <v>4</v>
      </c>
      <c r="D91" s="1" t="s">
        <v>3</v>
      </c>
      <c r="E91" s="1" t="s">
        <v>447</v>
      </c>
      <c r="F91" s="1" t="s">
        <v>5</v>
      </c>
    </row>
    <row r="92" spans="2:6" x14ac:dyDescent="0.25">
      <c r="B92" s="1"/>
      <c r="C92" s="1"/>
      <c r="D92" s="1"/>
      <c r="E92" s="1"/>
      <c r="F92" s="1"/>
    </row>
    <row r="93" spans="2:6" x14ac:dyDescent="0.25">
      <c r="B93" s="3" t="s">
        <v>6</v>
      </c>
      <c r="C93" s="1"/>
      <c r="D93" s="1"/>
      <c r="E93" s="1"/>
      <c r="F93" s="1"/>
    </row>
    <row r="94" spans="2:6" x14ac:dyDescent="0.25">
      <c r="B94" s="5" t="s">
        <v>7</v>
      </c>
      <c r="C94" s="1"/>
      <c r="D94" s="1"/>
      <c r="E94" s="1"/>
      <c r="F94" s="5">
        <v>2.0099999999999998</v>
      </c>
    </row>
    <row r="95" spans="2:6" x14ac:dyDescent="0.25">
      <c r="B95" s="5" t="s">
        <v>8</v>
      </c>
      <c r="C95" s="1"/>
      <c r="D95" s="1"/>
      <c r="E95" s="1"/>
      <c r="F95" s="5">
        <v>5.34</v>
      </c>
    </row>
    <row r="96" spans="2:6" ht="24.75" x14ac:dyDescent="0.25">
      <c r="B96" s="5" t="s">
        <v>11</v>
      </c>
      <c r="C96" s="1"/>
      <c r="D96" s="1"/>
      <c r="E96" s="1"/>
      <c r="F96" s="5">
        <v>0.55000000000000004</v>
      </c>
    </row>
    <row r="97" spans="2:6" ht="24.75" x14ac:dyDescent="0.25">
      <c r="B97" s="5" t="s">
        <v>12</v>
      </c>
      <c r="C97" s="1"/>
      <c r="D97" s="1"/>
      <c r="E97" s="1"/>
      <c r="F97" s="5">
        <v>0.53</v>
      </c>
    </row>
    <row r="98" spans="2:6" ht="24.75" x14ac:dyDescent="0.25">
      <c r="B98" s="5" t="s">
        <v>13</v>
      </c>
      <c r="C98" s="1"/>
      <c r="D98" s="1"/>
      <c r="E98" s="1"/>
      <c r="F98" s="5">
        <v>0.19</v>
      </c>
    </row>
    <row r="99" spans="2:6" ht="24.75" x14ac:dyDescent="0.25">
      <c r="B99" s="5" t="s">
        <v>14</v>
      </c>
      <c r="C99" s="1"/>
      <c r="D99" s="1"/>
      <c r="E99" s="1"/>
      <c r="F99" s="5">
        <v>1.25</v>
      </c>
    </row>
    <row r="100" spans="2:6" ht="24.75" x14ac:dyDescent="0.25">
      <c r="B100" s="5" t="s">
        <v>9</v>
      </c>
      <c r="C100" s="1"/>
      <c r="D100" s="1"/>
      <c r="E100" s="1"/>
      <c r="F100" s="5">
        <v>0.26</v>
      </c>
    </row>
    <row r="101" spans="2:6" ht="24.75" x14ac:dyDescent="0.25">
      <c r="B101" s="5" t="s">
        <v>15</v>
      </c>
      <c r="C101" s="1"/>
      <c r="D101" s="1"/>
      <c r="E101" s="1"/>
      <c r="F101" s="5">
        <v>0.27</v>
      </c>
    </row>
    <row r="102" spans="2:6" ht="24.75" x14ac:dyDescent="0.25">
      <c r="B102" s="5" t="s">
        <v>16</v>
      </c>
      <c r="C102" s="1"/>
      <c r="D102" s="1"/>
      <c r="E102" s="1"/>
      <c r="F102" s="5">
        <v>0.28999999999999998</v>
      </c>
    </row>
    <row r="103" spans="2:6" x14ac:dyDescent="0.25">
      <c r="B103" s="5" t="s">
        <v>17</v>
      </c>
      <c r="C103" s="1"/>
      <c r="D103" s="1"/>
      <c r="E103" s="1"/>
      <c r="F103" s="5">
        <v>0.32</v>
      </c>
    </row>
    <row r="104" spans="2:6" x14ac:dyDescent="0.25">
      <c r="B104" s="5" t="s">
        <v>18</v>
      </c>
      <c r="C104" s="1"/>
      <c r="D104" s="1"/>
      <c r="E104" s="1"/>
      <c r="F104" s="5">
        <v>1.97</v>
      </c>
    </row>
    <row r="105" spans="2:6" x14ac:dyDescent="0.25">
      <c r="B105" s="5" t="s">
        <v>19</v>
      </c>
      <c r="C105" s="1"/>
      <c r="D105" s="1"/>
      <c r="E105" s="1"/>
      <c r="F105" s="5">
        <v>3.95</v>
      </c>
    </row>
    <row r="106" spans="2:6" x14ac:dyDescent="0.25">
      <c r="B106" s="10" t="s">
        <v>20</v>
      </c>
      <c r="C106" s="1"/>
      <c r="D106" s="1"/>
      <c r="E106" s="1"/>
      <c r="F106" s="4">
        <f>SUM(F94:F105)</f>
        <v>16.93</v>
      </c>
    </row>
    <row r="107" spans="2:6" x14ac:dyDescent="0.25">
      <c r="B107" s="3" t="s">
        <v>21</v>
      </c>
      <c r="C107" s="1"/>
      <c r="D107" s="1"/>
      <c r="E107" s="1"/>
      <c r="F107" s="1"/>
    </row>
    <row r="108" spans="2:6" ht="30" x14ac:dyDescent="0.25">
      <c r="B108" s="1" t="s">
        <v>373</v>
      </c>
      <c r="C108" s="1" t="s">
        <v>265</v>
      </c>
      <c r="D108" s="1">
        <v>0.33</v>
      </c>
      <c r="E108" s="1">
        <v>6.6</v>
      </c>
      <c r="F108" s="24">
        <f>E108/450.1*1000/12</f>
        <v>1.2219506776271938</v>
      </c>
    </row>
    <row r="109" spans="2:6" x14ac:dyDescent="0.25">
      <c r="B109" s="1" t="s">
        <v>347</v>
      </c>
      <c r="C109" s="1" t="s">
        <v>26</v>
      </c>
      <c r="D109" s="1">
        <v>650</v>
      </c>
      <c r="E109" s="1">
        <v>162.5</v>
      </c>
      <c r="F109" s="24">
        <f t="shared" ref="F109:F120" si="2">E109/450.1*1000/12</f>
        <v>30.085906835518031</v>
      </c>
    </row>
    <row r="110" spans="2:6" x14ac:dyDescent="0.25">
      <c r="B110" s="1" t="s">
        <v>326</v>
      </c>
      <c r="C110" s="1" t="s">
        <v>26</v>
      </c>
      <c r="D110" s="1">
        <v>300</v>
      </c>
      <c r="E110" s="1">
        <v>450</v>
      </c>
      <c r="F110" s="24">
        <f t="shared" si="2"/>
        <v>83.314818929126844</v>
      </c>
    </row>
    <row r="111" spans="2:6" x14ac:dyDescent="0.25">
      <c r="B111" s="1" t="s">
        <v>327</v>
      </c>
      <c r="C111" s="1" t="s">
        <v>261</v>
      </c>
      <c r="D111" s="1">
        <v>161</v>
      </c>
      <c r="E111" s="1">
        <v>137</v>
      </c>
      <c r="F111" s="24">
        <f t="shared" si="2"/>
        <v>25.364733762867512</v>
      </c>
    </row>
    <row r="112" spans="2:6" x14ac:dyDescent="0.25">
      <c r="B112" s="1" t="s">
        <v>319</v>
      </c>
      <c r="C112" s="1" t="s">
        <v>261</v>
      </c>
      <c r="D112" s="1">
        <v>18</v>
      </c>
      <c r="E112" s="1">
        <v>23.4</v>
      </c>
      <c r="F112" s="24">
        <f t="shared" si="2"/>
        <v>4.3323705843145968</v>
      </c>
    </row>
    <row r="113" spans="2:6" x14ac:dyDescent="0.25">
      <c r="B113" s="1" t="s">
        <v>320</v>
      </c>
      <c r="C113" s="1" t="s">
        <v>261</v>
      </c>
      <c r="D113" s="1">
        <v>28</v>
      </c>
      <c r="E113" s="1">
        <v>53.2</v>
      </c>
      <c r="F113" s="24">
        <f t="shared" si="2"/>
        <v>9.8496630378434418</v>
      </c>
    </row>
    <row r="114" spans="2:6" x14ac:dyDescent="0.25">
      <c r="B114" s="1" t="s">
        <v>325</v>
      </c>
      <c r="C114" s="1" t="s">
        <v>261</v>
      </c>
      <c r="D114" s="1">
        <v>24</v>
      </c>
      <c r="E114" s="1">
        <v>45.6</v>
      </c>
      <c r="F114" s="24">
        <f t="shared" si="2"/>
        <v>8.4425683181515208</v>
      </c>
    </row>
    <row r="115" spans="2:6" x14ac:dyDescent="0.25">
      <c r="B115" s="1" t="s">
        <v>343</v>
      </c>
      <c r="C115" s="1" t="s">
        <v>256</v>
      </c>
      <c r="D115" s="1">
        <v>2</v>
      </c>
      <c r="E115" s="1">
        <v>100</v>
      </c>
      <c r="F115" s="24">
        <f t="shared" si="2"/>
        <v>18.514404206472637</v>
      </c>
    </row>
    <row r="116" spans="2:6" x14ac:dyDescent="0.25">
      <c r="B116" s="1" t="s">
        <v>372</v>
      </c>
      <c r="C116" s="1" t="s">
        <v>261</v>
      </c>
      <c r="D116" s="1">
        <v>120</v>
      </c>
      <c r="E116" s="1">
        <v>144</v>
      </c>
      <c r="F116" s="24">
        <f t="shared" si="2"/>
        <v>26.660742057320594</v>
      </c>
    </row>
    <row r="117" spans="2:6" x14ac:dyDescent="0.25">
      <c r="B117" s="1" t="s">
        <v>375</v>
      </c>
      <c r="C117" s="1" t="s">
        <v>261</v>
      </c>
      <c r="D117" s="1">
        <v>160</v>
      </c>
      <c r="E117" s="1">
        <v>160</v>
      </c>
      <c r="F117" s="24">
        <f t="shared" si="2"/>
        <v>29.623046730356219</v>
      </c>
    </row>
    <row r="118" spans="2:6" x14ac:dyDescent="0.25">
      <c r="B118" s="1" t="s">
        <v>379</v>
      </c>
      <c r="C118" s="1" t="s">
        <v>265</v>
      </c>
      <c r="D118" s="1">
        <v>2</v>
      </c>
      <c r="E118" s="1">
        <v>7</v>
      </c>
      <c r="F118" s="24">
        <f t="shared" si="2"/>
        <v>1.2960082944530844</v>
      </c>
    </row>
    <row r="119" spans="2:6" x14ac:dyDescent="0.25">
      <c r="B119" s="1"/>
      <c r="C119" s="1"/>
      <c r="D119" s="1"/>
      <c r="E119" s="1"/>
      <c r="F119" s="24">
        <f t="shared" si="2"/>
        <v>0</v>
      </c>
    </row>
    <row r="120" spans="2:6" x14ac:dyDescent="0.25">
      <c r="B120" s="1"/>
      <c r="C120" s="1"/>
      <c r="D120" s="1"/>
      <c r="E120" s="1"/>
      <c r="F120" s="24">
        <f t="shared" si="2"/>
        <v>0</v>
      </c>
    </row>
    <row r="121" spans="2:6" x14ac:dyDescent="0.25">
      <c r="B121" s="10" t="s">
        <v>20</v>
      </c>
      <c r="C121" s="1"/>
      <c r="D121" s="1"/>
      <c r="E121" s="4">
        <f>SUM(E108:E120)</f>
        <v>1289.3000000000002</v>
      </c>
      <c r="F121" s="22">
        <f>SUM(F108:F120)</f>
        <v>238.70621343405168</v>
      </c>
    </row>
    <row r="122" spans="2:6" x14ac:dyDescent="0.25">
      <c r="B122" s="4" t="s">
        <v>22</v>
      </c>
      <c r="C122" s="6"/>
      <c r="D122" s="6"/>
      <c r="E122" s="6"/>
      <c r="F122" s="23">
        <f>F106+F121</f>
        <v>255.63621343405168</v>
      </c>
    </row>
    <row r="123" spans="2:6" x14ac:dyDescent="0.25">
      <c r="B123" s="7"/>
      <c r="C123" s="7"/>
      <c r="D123" s="7"/>
      <c r="E123" s="7"/>
      <c r="F123" s="7"/>
    </row>
    <row r="124" spans="2:6" x14ac:dyDescent="0.25">
      <c r="B124" s="13"/>
      <c r="C124" s="13"/>
      <c r="D124" s="13"/>
      <c r="E124" s="13"/>
      <c r="F124" s="13"/>
    </row>
    <row r="125" spans="2:6" x14ac:dyDescent="0.25">
      <c r="B125" s="13"/>
      <c r="C125" s="13"/>
      <c r="D125" s="13"/>
      <c r="E125" s="13"/>
      <c r="F125" s="13"/>
    </row>
    <row r="126" spans="2:6" x14ac:dyDescent="0.25">
      <c r="B126" s="39" t="s">
        <v>23</v>
      </c>
      <c r="C126" s="38"/>
      <c r="D126" s="38"/>
      <c r="E126" s="39" t="s">
        <v>24</v>
      </c>
      <c r="F126" s="38"/>
    </row>
    <row r="128" spans="2:6" ht="27.6" customHeight="1" x14ac:dyDescent="0.25">
      <c r="B128" s="37" t="s">
        <v>63</v>
      </c>
      <c r="C128" s="37"/>
      <c r="D128" s="37"/>
      <c r="E128" s="37"/>
      <c r="F128" s="37"/>
    </row>
    <row r="129" spans="2:6" ht="28.9" customHeight="1" x14ac:dyDescent="0.25">
      <c r="B129" s="37" t="s">
        <v>1</v>
      </c>
      <c r="C129" s="37"/>
      <c r="D129" s="37"/>
      <c r="E129" s="37"/>
      <c r="F129" s="37"/>
    </row>
    <row r="130" spans="2:6" x14ac:dyDescent="0.25">
      <c r="B130" s="14" t="s">
        <v>0</v>
      </c>
      <c r="C130" s="14"/>
      <c r="D130" s="14"/>
      <c r="E130" s="14"/>
      <c r="F130" s="14"/>
    </row>
    <row r="131" spans="2:6" x14ac:dyDescent="0.25">
      <c r="B131" s="12"/>
      <c r="C131" s="38" t="s">
        <v>25</v>
      </c>
      <c r="D131" s="38"/>
      <c r="E131" s="12">
        <v>1270.9000000000001</v>
      </c>
      <c r="F131" s="12" t="s">
        <v>26</v>
      </c>
    </row>
    <row r="133" spans="2:6" ht="60" x14ac:dyDescent="0.25">
      <c r="B133" s="1" t="s">
        <v>2</v>
      </c>
      <c r="C133" s="1" t="s">
        <v>4</v>
      </c>
      <c r="D133" s="1" t="s">
        <v>3</v>
      </c>
      <c r="E133" s="1" t="s">
        <v>447</v>
      </c>
      <c r="F133" s="1" t="s">
        <v>5</v>
      </c>
    </row>
    <row r="134" spans="2:6" x14ac:dyDescent="0.25">
      <c r="B134" s="1"/>
      <c r="C134" s="1"/>
      <c r="D134" s="1"/>
      <c r="E134" s="1"/>
      <c r="F134" s="1"/>
    </row>
    <row r="135" spans="2:6" x14ac:dyDescent="0.25">
      <c r="B135" s="3" t="s">
        <v>6</v>
      </c>
      <c r="C135" s="1"/>
      <c r="D135" s="1"/>
      <c r="E135" s="1"/>
      <c r="F135" s="1"/>
    </row>
    <row r="136" spans="2:6" x14ac:dyDescent="0.25">
      <c r="B136" s="5" t="s">
        <v>7</v>
      </c>
      <c r="C136" s="1"/>
      <c r="D136" s="1"/>
      <c r="E136" s="1"/>
      <c r="F136" s="5">
        <v>2.0099999999999998</v>
      </c>
    </row>
    <row r="137" spans="2:6" x14ac:dyDescent="0.25">
      <c r="B137" s="5" t="s">
        <v>8</v>
      </c>
      <c r="C137" s="1"/>
      <c r="D137" s="1"/>
      <c r="E137" s="1"/>
      <c r="F137" s="5">
        <v>5.34</v>
      </c>
    </row>
    <row r="138" spans="2:6" x14ac:dyDescent="0.25">
      <c r="B138" s="15" t="s">
        <v>30</v>
      </c>
      <c r="C138" s="1"/>
      <c r="D138" s="1"/>
      <c r="E138" s="1"/>
      <c r="F138" s="5">
        <v>0.06</v>
      </c>
    </row>
    <row r="139" spans="2:6" ht="24.75" x14ac:dyDescent="0.25">
      <c r="B139" s="5" t="s">
        <v>11</v>
      </c>
      <c r="C139" s="1"/>
      <c r="D139" s="1"/>
      <c r="E139" s="1"/>
      <c r="F139" s="5">
        <v>0.55000000000000004</v>
      </c>
    </row>
    <row r="140" spans="2:6" ht="24.75" x14ac:dyDescent="0.25">
      <c r="B140" s="5" t="s">
        <v>12</v>
      </c>
      <c r="C140" s="1"/>
      <c r="D140" s="1"/>
      <c r="E140" s="1"/>
      <c r="F140" s="5">
        <v>0.53</v>
      </c>
    </row>
    <row r="141" spans="2:6" ht="24.75" x14ac:dyDescent="0.25">
      <c r="B141" s="5" t="s">
        <v>13</v>
      </c>
      <c r="C141" s="1"/>
      <c r="D141" s="1"/>
      <c r="E141" s="1"/>
      <c r="F141" s="5">
        <v>0.19</v>
      </c>
    </row>
    <row r="142" spans="2:6" ht="24.75" x14ac:dyDescent="0.25">
      <c r="B142" s="5" t="s">
        <v>14</v>
      </c>
      <c r="C142" s="1"/>
      <c r="D142" s="1"/>
      <c r="E142" s="1"/>
      <c r="F142" s="5">
        <v>1.25</v>
      </c>
    </row>
    <row r="143" spans="2:6" ht="24.75" x14ac:dyDescent="0.25">
      <c r="B143" s="5" t="s">
        <v>9</v>
      </c>
      <c r="C143" s="1"/>
      <c r="D143" s="1"/>
      <c r="E143" s="1"/>
      <c r="F143" s="5">
        <v>0.26</v>
      </c>
    </row>
    <row r="144" spans="2:6" ht="24.75" x14ac:dyDescent="0.25">
      <c r="B144" s="5" t="s">
        <v>15</v>
      </c>
      <c r="C144" s="1"/>
      <c r="D144" s="1"/>
      <c r="E144" s="1"/>
      <c r="F144" s="5">
        <v>0.27</v>
      </c>
    </row>
    <row r="145" spans="2:6" ht="24.75" x14ac:dyDescent="0.25">
      <c r="B145" s="5" t="s">
        <v>16</v>
      </c>
      <c r="C145" s="1"/>
      <c r="D145" s="1"/>
      <c r="E145" s="1"/>
      <c r="F145" s="5">
        <v>0.28999999999999998</v>
      </c>
    </row>
    <row r="146" spans="2:6" x14ac:dyDescent="0.25">
      <c r="B146" s="5" t="s">
        <v>17</v>
      </c>
      <c r="C146" s="1"/>
      <c r="D146" s="1"/>
      <c r="E146" s="1"/>
      <c r="F146" s="5">
        <v>0.32</v>
      </c>
    </row>
    <row r="147" spans="2:6" x14ac:dyDescent="0.25">
      <c r="B147" s="5" t="s">
        <v>18</v>
      </c>
      <c r="C147" s="1"/>
      <c r="D147" s="1"/>
      <c r="E147" s="1"/>
      <c r="F147" s="5">
        <v>1.97</v>
      </c>
    </row>
    <row r="148" spans="2:6" x14ac:dyDescent="0.25">
      <c r="B148" s="5" t="s">
        <v>19</v>
      </c>
      <c r="C148" s="1"/>
      <c r="D148" s="1"/>
      <c r="E148" s="1"/>
      <c r="F148" s="5">
        <v>3.95</v>
      </c>
    </row>
    <row r="149" spans="2:6" x14ac:dyDescent="0.25">
      <c r="B149" s="10" t="s">
        <v>20</v>
      </c>
      <c r="C149" s="1"/>
      <c r="D149" s="1"/>
      <c r="E149" s="1"/>
      <c r="F149" s="4">
        <f>SUM(F136:F148)</f>
        <v>16.989999999999998</v>
      </c>
    </row>
    <row r="150" spans="2:6" x14ac:dyDescent="0.25">
      <c r="B150" s="3" t="s">
        <v>21</v>
      </c>
      <c r="C150" s="1"/>
      <c r="D150" s="1"/>
      <c r="E150" s="1"/>
      <c r="F150" s="1"/>
    </row>
    <row r="151" spans="2:6" ht="30" x14ac:dyDescent="0.25">
      <c r="B151" s="1" t="s">
        <v>373</v>
      </c>
      <c r="C151" s="1" t="s">
        <v>265</v>
      </c>
      <c r="D151" s="1">
        <v>0.33</v>
      </c>
      <c r="E151" s="1">
        <v>6.6</v>
      </c>
      <c r="F151" s="24">
        <f>E151/1270.9*1000/12</f>
        <v>0.43276418286253832</v>
      </c>
    </row>
    <row r="152" spans="2:6" x14ac:dyDescent="0.25">
      <c r="B152" s="1" t="s">
        <v>326</v>
      </c>
      <c r="C152" s="1" t="s">
        <v>26</v>
      </c>
      <c r="D152" s="1">
        <v>30</v>
      </c>
      <c r="E152" s="1">
        <v>45</v>
      </c>
      <c r="F152" s="24">
        <f t="shared" ref="F152:F163" si="3">E152/1270.9*1000/12</f>
        <v>2.9506648831536704</v>
      </c>
    </row>
    <row r="153" spans="2:6" x14ac:dyDescent="0.25">
      <c r="B153" s="1" t="s">
        <v>275</v>
      </c>
      <c r="C153" s="1" t="s">
        <v>26</v>
      </c>
      <c r="D153" s="1">
        <v>75</v>
      </c>
      <c r="E153" s="1">
        <v>112.5</v>
      </c>
      <c r="F153" s="24">
        <f t="shared" si="3"/>
        <v>7.376662207884177</v>
      </c>
    </row>
    <row r="154" spans="2:6" x14ac:dyDescent="0.25">
      <c r="B154" s="1" t="s">
        <v>335</v>
      </c>
      <c r="C154" s="1" t="s">
        <v>26</v>
      </c>
      <c r="D154" s="1">
        <v>30</v>
      </c>
      <c r="E154" s="1">
        <v>18</v>
      </c>
      <c r="F154" s="24">
        <f t="shared" si="3"/>
        <v>1.1802659532614681</v>
      </c>
    </row>
    <row r="155" spans="2:6" x14ac:dyDescent="0.25">
      <c r="B155" s="1" t="s">
        <v>329</v>
      </c>
      <c r="C155" s="1" t="s">
        <v>26</v>
      </c>
      <c r="D155" s="1">
        <v>30</v>
      </c>
      <c r="E155" s="1">
        <v>36</v>
      </c>
      <c r="F155" s="24">
        <f t="shared" si="3"/>
        <v>2.3605319065229362</v>
      </c>
    </row>
    <row r="156" spans="2:6" x14ac:dyDescent="0.25">
      <c r="B156" s="1" t="s">
        <v>319</v>
      </c>
      <c r="C156" s="1" t="s">
        <v>261</v>
      </c>
      <c r="D156" s="1">
        <v>48</v>
      </c>
      <c r="E156" s="1">
        <v>62.4</v>
      </c>
      <c r="F156" s="24">
        <f t="shared" si="3"/>
        <v>4.0915886379730892</v>
      </c>
    </row>
    <row r="157" spans="2:6" x14ac:dyDescent="0.25">
      <c r="B157" s="1" t="s">
        <v>320</v>
      </c>
      <c r="C157" s="1" t="s">
        <v>261</v>
      </c>
      <c r="D157" s="1">
        <v>3.6</v>
      </c>
      <c r="E157" s="1">
        <v>6.84</v>
      </c>
      <c r="F157" s="24">
        <f t="shared" si="3"/>
        <v>0.44850106223935787</v>
      </c>
    </row>
    <row r="158" spans="2:6" x14ac:dyDescent="0.25">
      <c r="B158" s="1" t="s">
        <v>325</v>
      </c>
      <c r="C158" s="1" t="s">
        <v>261</v>
      </c>
      <c r="D158" s="1">
        <v>20</v>
      </c>
      <c r="E158" s="1">
        <v>38</v>
      </c>
      <c r="F158" s="24">
        <f t="shared" si="3"/>
        <v>2.4916725679964329</v>
      </c>
    </row>
    <row r="159" spans="2:6" x14ac:dyDescent="0.25">
      <c r="B159" s="1" t="s">
        <v>321</v>
      </c>
      <c r="C159" s="1" t="s">
        <v>256</v>
      </c>
      <c r="D159" s="1">
        <v>1</v>
      </c>
      <c r="E159" s="1">
        <v>80</v>
      </c>
      <c r="F159" s="24">
        <f t="shared" si="3"/>
        <v>5.2456264589398582</v>
      </c>
    </row>
    <row r="160" spans="2:6" x14ac:dyDescent="0.25">
      <c r="B160" s="1" t="s">
        <v>322</v>
      </c>
      <c r="C160" s="1" t="s">
        <v>261</v>
      </c>
      <c r="D160" s="1">
        <v>120</v>
      </c>
      <c r="E160" s="1">
        <v>144</v>
      </c>
      <c r="F160" s="24">
        <f t="shared" si="3"/>
        <v>9.4421276260917448</v>
      </c>
    </row>
    <row r="161" spans="2:6" x14ac:dyDescent="0.25">
      <c r="B161" s="1" t="s">
        <v>323</v>
      </c>
      <c r="C161" s="1" t="s">
        <v>261</v>
      </c>
      <c r="D161" s="1">
        <v>200</v>
      </c>
      <c r="E161" s="1">
        <v>200</v>
      </c>
      <c r="F161" s="24">
        <f t="shared" si="3"/>
        <v>13.114066147349646</v>
      </c>
    </row>
    <row r="162" spans="2:6" x14ac:dyDescent="0.25">
      <c r="B162" s="1"/>
      <c r="C162" s="1"/>
      <c r="D162" s="1"/>
      <c r="E162" s="1"/>
      <c r="F162" s="24">
        <f t="shared" si="3"/>
        <v>0</v>
      </c>
    </row>
    <row r="163" spans="2:6" x14ac:dyDescent="0.25">
      <c r="B163" s="1"/>
      <c r="C163" s="1"/>
      <c r="D163" s="1"/>
      <c r="E163" s="1"/>
      <c r="F163" s="24">
        <f t="shared" si="3"/>
        <v>0</v>
      </c>
    </row>
    <row r="164" spans="2:6" x14ac:dyDescent="0.25">
      <c r="B164" s="10" t="s">
        <v>20</v>
      </c>
      <c r="C164" s="1"/>
      <c r="D164" s="1"/>
      <c r="E164" s="4">
        <f>SUM(E151:E163)</f>
        <v>749.33999999999992</v>
      </c>
      <c r="F164" s="22">
        <f>SUM(F151:F163)</f>
        <v>49.134471634274924</v>
      </c>
    </row>
    <row r="165" spans="2:6" x14ac:dyDescent="0.25">
      <c r="B165" s="4" t="s">
        <v>22</v>
      </c>
      <c r="C165" s="6"/>
      <c r="D165" s="6"/>
      <c r="E165" s="6"/>
      <c r="F165" s="23">
        <f>F149+F164</f>
        <v>66.124471634274926</v>
      </c>
    </row>
    <row r="166" spans="2:6" x14ac:dyDescent="0.25">
      <c r="B166" s="7"/>
      <c r="C166" s="7"/>
      <c r="D166" s="7"/>
      <c r="E166" s="7"/>
      <c r="F166" s="7"/>
    </row>
    <row r="167" spans="2:6" x14ac:dyDescent="0.25">
      <c r="B167" s="13"/>
      <c r="C167" s="13"/>
      <c r="D167" s="13"/>
      <c r="E167" s="13"/>
      <c r="F167" s="13"/>
    </row>
    <row r="168" spans="2:6" x14ac:dyDescent="0.25">
      <c r="B168" s="13"/>
      <c r="C168" s="13"/>
      <c r="D168" s="13"/>
      <c r="E168" s="13"/>
      <c r="F168" s="13"/>
    </row>
    <row r="169" spans="2:6" x14ac:dyDescent="0.25">
      <c r="B169" s="39" t="s">
        <v>23</v>
      </c>
      <c r="C169" s="38"/>
      <c r="D169" s="38"/>
      <c r="E169" s="39" t="s">
        <v>24</v>
      </c>
      <c r="F169" s="38"/>
    </row>
    <row r="171" spans="2:6" ht="27" customHeight="1" x14ac:dyDescent="0.25">
      <c r="B171" s="37" t="s">
        <v>64</v>
      </c>
      <c r="C171" s="37"/>
      <c r="D171" s="37"/>
      <c r="E171" s="37"/>
      <c r="F171" s="37"/>
    </row>
    <row r="172" spans="2:6" ht="27.6" customHeight="1" x14ac:dyDescent="0.25">
      <c r="B172" s="37" t="s">
        <v>1</v>
      </c>
      <c r="C172" s="37"/>
      <c r="D172" s="37"/>
      <c r="E172" s="37"/>
      <c r="F172" s="37"/>
    </row>
    <row r="173" spans="2:6" x14ac:dyDescent="0.25">
      <c r="B173" s="14" t="s">
        <v>0</v>
      </c>
      <c r="C173" s="14"/>
      <c r="D173" s="14"/>
      <c r="E173" s="14"/>
      <c r="F173" s="14"/>
    </row>
    <row r="174" spans="2:6" x14ac:dyDescent="0.25">
      <c r="B174" s="12"/>
      <c r="C174" s="38" t="s">
        <v>25</v>
      </c>
      <c r="D174" s="38"/>
      <c r="E174" s="12">
        <v>408.7</v>
      </c>
      <c r="F174" s="12" t="s">
        <v>26</v>
      </c>
    </row>
    <row r="176" spans="2:6" ht="60" x14ac:dyDescent="0.25">
      <c r="B176" s="1" t="s">
        <v>2</v>
      </c>
      <c r="C176" s="1" t="s">
        <v>4</v>
      </c>
      <c r="D176" s="1" t="s">
        <v>3</v>
      </c>
      <c r="E176" s="1" t="s">
        <v>447</v>
      </c>
      <c r="F176" s="1" t="s">
        <v>5</v>
      </c>
    </row>
    <row r="177" spans="2:6" x14ac:dyDescent="0.25">
      <c r="B177" s="1"/>
      <c r="C177" s="1"/>
      <c r="D177" s="1"/>
      <c r="E177" s="1"/>
      <c r="F177" s="1"/>
    </row>
    <row r="178" spans="2:6" x14ac:dyDescent="0.25">
      <c r="B178" s="3" t="s">
        <v>6</v>
      </c>
      <c r="C178" s="1"/>
      <c r="D178" s="1"/>
      <c r="E178" s="1"/>
      <c r="F178" s="1"/>
    </row>
    <row r="179" spans="2:6" x14ac:dyDescent="0.25">
      <c r="B179" s="5" t="s">
        <v>7</v>
      </c>
      <c r="C179" s="1"/>
      <c r="D179" s="1"/>
      <c r="E179" s="1"/>
      <c r="F179" s="5">
        <v>2.0099999999999998</v>
      </c>
    </row>
    <row r="180" spans="2:6" x14ac:dyDescent="0.25">
      <c r="B180" s="5" t="s">
        <v>8</v>
      </c>
      <c r="C180" s="1"/>
      <c r="D180" s="1"/>
      <c r="E180" s="1"/>
      <c r="F180" s="5">
        <v>5.34</v>
      </c>
    </row>
    <row r="181" spans="2:6" ht="24.75" x14ac:dyDescent="0.25">
      <c r="B181" s="5" t="s">
        <v>11</v>
      </c>
      <c r="C181" s="1"/>
      <c r="D181" s="1"/>
      <c r="E181" s="1"/>
      <c r="F181" s="5">
        <v>0.55000000000000004</v>
      </c>
    </row>
    <row r="182" spans="2:6" ht="24.75" x14ac:dyDescent="0.25">
      <c r="B182" s="5" t="s">
        <v>12</v>
      </c>
      <c r="C182" s="1"/>
      <c r="D182" s="1"/>
      <c r="E182" s="1"/>
      <c r="F182" s="5">
        <v>0.53</v>
      </c>
    </row>
    <row r="183" spans="2:6" ht="24.75" x14ac:dyDescent="0.25">
      <c r="B183" s="5" t="s">
        <v>13</v>
      </c>
      <c r="C183" s="1"/>
      <c r="D183" s="1"/>
      <c r="E183" s="1"/>
      <c r="F183" s="5">
        <v>0.19</v>
      </c>
    </row>
    <row r="184" spans="2:6" ht="24.75" x14ac:dyDescent="0.25">
      <c r="B184" s="5" t="s">
        <v>14</v>
      </c>
      <c r="C184" s="1"/>
      <c r="D184" s="1"/>
      <c r="E184" s="1"/>
      <c r="F184" s="5">
        <v>1.25</v>
      </c>
    </row>
    <row r="185" spans="2:6" ht="24.75" x14ac:dyDescent="0.25">
      <c r="B185" s="5" t="s">
        <v>9</v>
      </c>
      <c r="C185" s="1"/>
      <c r="D185" s="1"/>
      <c r="E185" s="1"/>
      <c r="F185" s="5">
        <v>0.26</v>
      </c>
    </row>
    <row r="186" spans="2:6" ht="24.75" x14ac:dyDescent="0.25">
      <c r="B186" s="5" t="s">
        <v>15</v>
      </c>
      <c r="C186" s="1"/>
      <c r="D186" s="1"/>
      <c r="E186" s="1"/>
      <c r="F186" s="5">
        <v>0.27</v>
      </c>
    </row>
    <row r="187" spans="2:6" ht="24.75" x14ac:dyDescent="0.25">
      <c r="B187" s="5" t="s">
        <v>16</v>
      </c>
      <c r="C187" s="1"/>
      <c r="D187" s="1"/>
      <c r="E187" s="1"/>
      <c r="F187" s="5">
        <v>0.28999999999999998</v>
      </c>
    </row>
    <row r="188" spans="2:6" x14ac:dyDescent="0.25">
      <c r="B188" s="5" t="s">
        <v>17</v>
      </c>
      <c r="C188" s="1"/>
      <c r="D188" s="1"/>
      <c r="E188" s="1"/>
      <c r="F188" s="5">
        <v>0.32</v>
      </c>
    </row>
    <row r="189" spans="2:6" x14ac:dyDescent="0.25">
      <c r="B189" s="5" t="s">
        <v>18</v>
      </c>
      <c r="C189" s="1"/>
      <c r="D189" s="1"/>
      <c r="E189" s="1"/>
      <c r="F189" s="5">
        <v>1.97</v>
      </c>
    </row>
    <row r="190" spans="2:6" x14ac:dyDescent="0.25">
      <c r="B190" s="5" t="s">
        <v>19</v>
      </c>
      <c r="C190" s="1"/>
      <c r="D190" s="1"/>
      <c r="E190" s="1"/>
      <c r="F190" s="5">
        <v>3.95</v>
      </c>
    </row>
    <row r="191" spans="2:6" x14ac:dyDescent="0.25">
      <c r="B191" s="10" t="s">
        <v>20</v>
      </c>
      <c r="C191" s="1"/>
      <c r="D191" s="1"/>
      <c r="E191" s="1"/>
      <c r="F191" s="4">
        <f>SUM(F179:F190)</f>
        <v>16.93</v>
      </c>
    </row>
    <row r="192" spans="2:6" x14ac:dyDescent="0.25">
      <c r="B192" s="3" t="s">
        <v>21</v>
      </c>
      <c r="C192" s="1"/>
      <c r="D192" s="1"/>
      <c r="E192" s="1"/>
      <c r="F192" s="1"/>
    </row>
    <row r="193" spans="2:6" x14ac:dyDescent="0.25">
      <c r="B193" s="1" t="s">
        <v>317</v>
      </c>
      <c r="C193" s="1" t="s">
        <v>256</v>
      </c>
      <c r="D193" s="1">
        <v>1</v>
      </c>
      <c r="E193" s="1">
        <v>45</v>
      </c>
      <c r="F193" s="24">
        <f>E193/408.7*1000/12</f>
        <v>9.1754343038903858</v>
      </c>
    </row>
    <row r="194" spans="2:6" x14ac:dyDescent="0.25">
      <c r="B194" s="1" t="s">
        <v>326</v>
      </c>
      <c r="C194" s="1" t="s">
        <v>26</v>
      </c>
      <c r="D194" s="1">
        <v>170</v>
      </c>
      <c r="E194" s="1">
        <v>255</v>
      </c>
      <c r="F194" s="24">
        <f t="shared" ref="F194:F205" si="4">E194/408.7*1000/12</f>
        <v>51.994127722045505</v>
      </c>
    </row>
    <row r="195" spans="2:6" x14ac:dyDescent="0.25">
      <c r="B195" s="1" t="s">
        <v>327</v>
      </c>
      <c r="C195" s="1" t="s">
        <v>261</v>
      </c>
      <c r="D195" s="1">
        <v>30</v>
      </c>
      <c r="E195" s="1">
        <v>25.5</v>
      </c>
      <c r="F195" s="24">
        <f t="shared" si="4"/>
        <v>5.1994127722045516</v>
      </c>
    </row>
    <row r="196" spans="2:6" x14ac:dyDescent="0.25">
      <c r="B196" s="1" t="s">
        <v>367</v>
      </c>
      <c r="C196" s="1" t="s">
        <v>265</v>
      </c>
      <c r="D196" s="1">
        <v>2</v>
      </c>
      <c r="E196" s="1">
        <v>7</v>
      </c>
      <c r="F196" s="24">
        <f t="shared" si="4"/>
        <v>1.4272897806051708</v>
      </c>
    </row>
    <row r="197" spans="2:6" x14ac:dyDescent="0.25">
      <c r="B197" s="1" t="s">
        <v>322</v>
      </c>
      <c r="C197" s="1" t="s">
        <v>261</v>
      </c>
      <c r="D197" s="1">
        <v>120</v>
      </c>
      <c r="E197" s="1">
        <v>144</v>
      </c>
      <c r="F197" s="24">
        <f t="shared" si="4"/>
        <v>29.361389772449229</v>
      </c>
    </row>
    <row r="198" spans="2:6" x14ac:dyDescent="0.25">
      <c r="B198" s="1" t="s">
        <v>375</v>
      </c>
      <c r="C198" s="1" t="s">
        <v>261</v>
      </c>
      <c r="D198" s="1">
        <v>160</v>
      </c>
      <c r="E198" s="1">
        <v>160</v>
      </c>
      <c r="F198" s="24">
        <f t="shared" si="4"/>
        <v>32.623766413832477</v>
      </c>
    </row>
    <row r="199" spans="2:6" x14ac:dyDescent="0.25">
      <c r="B199" s="1" t="s">
        <v>330</v>
      </c>
      <c r="C199" s="1" t="s">
        <v>261</v>
      </c>
      <c r="D199" s="1">
        <v>20</v>
      </c>
      <c r="E199" s="1">
        <v>28</v>
      </c>
      <c r="F199" s="24">
        <f t="shared" si="4"/>
        <v>5.709159122420683</v>
      </c>
    </row>
    <row r="200" spans="2:6" x14ac:dyDescent="0.25">
      <c r="B200" s="1"/>
      <c r="C200" s="1"/>
      <c r="D200" s="1"/>
      <c r="E200" s="1"/>
      <c r="F200" s="24">
        <f t="shared" si="4"/>
        <v>0</v>
      </c>
    </row>
    <row r="201" spans="2:6" x14ac:dyDescent="0.25">
      <c r="B201" s="1"/>
      <c r="C201" s="1"/>
      <c r="D201" s="1"/>
      <c r="E201" s="1"/>
      <c r="F201" s="24">
        <f t="shared" si="4"/>
        <v>0</v>
      </c>
    </row>
    <row r="202" spans="2:6" x14ac:dyDescent="0.25">
      <c r="B202" s="1"/>
      <c r="C202" s="1"/>
      <c r="D202" s="1"/>
      <c r="E202" s="1"/>
      <c r="F202" s="24">
        <f t="shared" si="4"/>
        <v>0</v>
      </c>
    </row>
    <row r="203" spans="2:6" x14ac:dyDescent="0.25">
      <c r="B203" s="1"/>
      <c r="C203" s="1"/>
      <c r="D203" s="1"/>
      <c r="E203" s="1"/>
      <c r="F203" s="24">
        <f t="shared" si="4"/>
        <v>0</v>
      </c>
    </row>
    <row r="204" spans="2:6" x14ac:dyDescent="0.25">
      <c r="B204" s="1"/>
      <c r="C204" s="1"/>
      <c r="D204" s="1"/>
      <c r="E204" s="1"/>
      <c r="F204" s="24">
        <f t="shared" si="4"/>
        <v>0</v>
      </c>
    </row>
    <row r="205" spans="2:6" x14ac:dyDescent="0.25">
      <c r="B205" s="1"/>
      <c r="C205" s="1"/>
      <c r="D205" s="1"/>
      <c r="E205" s="1"/>
      <c r="F205" s="24">
        <f t="shared" si="4"/>
        <v>0</v>
      </c>
    </row>
    <row r="206" spans="2:6" x14ac:dyDescent="0.25">
      <c r="B206" s="10" t="s">
        <v>20</v>
      </c>
      <c r="C206" s="1"/>
      <c r="D206" s="1"/>
      <c r="E206" s="4">
        <f>SUM(E193:E205)</f>
        <v>664.5</v>
      </c>
      <c r="F206" s="22">
        <f>SUM(F193:F205)</f>
        <v>135.49057988744801</v>
      </c>
    </row>
    <row r="207" spans="2:6" x14ac:dyDescent="0.25">
      <c r="B207" s="4" t="s">
        <v>22</v>
      </c>
      <c r="C207" s="6"/>
      <c r="D207" s="6"/>
      <c r="E207" s="6"/>
      <c r="F207" s="23">
        <f>F191+F206</f>
        <v>152.42057988744801</v>
      </c>
    </row>
    <row r="208" spans="2:6" x14ac:dyDescent="0.25">
      <c r="B208" s="7"/>
      <c r="C208" s="7"/>
      <c r="D208" s="7"/>
      <c r="E208" s="7"/>
      <c r="F208" s="7"/>
    </row>
    <row r="209" spans="2:6" x14ac:dyDescent="0.25">
      <c r="B209" s="13"/>
      <c r="C209" s="13"/>
      <c r="D209" s="13"/>
      <c r="E209" s="13"/>
      <c r="F209" s="13"/>
    </row>
    <row r="210" spans="2:6" x14ac:dyDescent="0.25">
      <c r="B210" s="13"/>
      <c r="C210" s="13"/>
      <c r="D210" s="13"/>
      <c r="E210" s="13"/>
      <c r="F210" s="13"/>
    </row>
    <row r="211" spans="2:6" x14ac:dyDescent="0.25">
      <c r="B211" s="39" t="s">
        <v>23</v>
      </c>
      <c r="C211" s="38"/>
      <c r="D211" s="38"/>
      <c r="E211" s="39" t="s">
        <v>24</v>
      </c>
      <c r="F211" s="38"/>
    </row>
    <row r="213" spans="2:6" ht="32.450000000000003" customHeight="1" x14ac:dyDescent="0.25">
      <c r="B213" s="37" t="s">
        <v>65</v>
      </c>
      <c r="C213" s="37"/>
      <c r="D213" s="37"/>
      <c r="E213" s="37"/>
      <c r="F213" s="37"/>
    </row>
    <row r="214" spans="2:6" ht="32.450000000000003" customHeight="1" x14ac:dyDescent="0.25">
      <c r="B214" s="37" t="s">
        <v>1</v>
      </c>
      <c r="C214" s="37"/>
      <c r="D214" s="37"/>
      <c r="E214" s="37"/>
      <c r="F214" s="37"/>
    </row>
    <row r="215" spans="2:6" x14ac:dyDescent="0.25">
      <c r="B215" s="14" t="s">
        <v>0</v>
      </c>
      <c r="C215" s="14"/>
      <c r="D215" s="14"/>
      <c r="E215" s="14"/>
      <c r="F215" s="14"/>
    </row>
    <row r="216" spans="2:6" x14ac:dyDescent="0.25">
      <c r="B216" s="12"/>
      <c r="C216" s="38" t="s">
        <v>25</v>
      </c>
      <c r="D216" s="38"/>
      <c r="E216" s="12">
        <v>1216.5999999999999</v>
      </c>
      <c r="F216" s="12" t="s">
        <v>26</v>
      </c>
    </row>
    <row r="218" spans="2:6" ht="60" x14ac:dyDescent="0.25">
      <c r="B218" s="1" t="s">
        <v>2</v>
      </c>
      <c r="C218" s="1" t="s">
        <v>4</v>
      </c>
      <c r="D218" s="1" t="s">
        <v>3</v>
      </c>
      <c r="E218" s="1" t="s">
        <v>447</v>
      </c>
      <c r="F218" s="1" t="s">
        <v>5</v>
      </c>
    </row>
    <row r="219" spans="2:6" x14ac:dyDescent="0.25">
      <c r="B219" s="1"/>
      <c r="C219" s="1"/>
      <c r="D219" s="1"/>
      <c r="E219" s="1"/>
      <c r="F219" s="1"/>
    </row>
    <row r="220" spans="2:6" x14ac:dyDescent="0.25">
      <c r="B220" s="3" t="s">
        <v>6</v>
      </c>
      <c r="C220" s="1"/>
      <c r="D220" s="1"/>
      <c r="E220" s="1"/>
      <c r="F220" s="1"/>
    </row>
    <row r="221" spans="2:6" x14ac:dyDescent="0.25">
      <c r="B221" s="5" t="s">
        <v>7</v>
      </c>
      <c r="C221" s="1"/>
      <c r="D221" s="1"/>
      <c r="E221" s="1"/>
      <c r="F221" s="5">
        <v>2.0099999999999998</v>
      </c>
    </row>
    <row r="222" spans="2:6" x14ac:dyDescent="0.25">
      <c r="B222" s="5" t="s">
        <v>8</v>
      </c>
      <c r="C222" s="1"/>
      <c r="D222" s="1"/>
      <c r="E222" s="1"/>
      <c r="F222" s="5">
        <v>5.34</v>
      </c>
    </row>
    <row r="223" spans="2:6" ht="24.75" x14ac:dyDescent="0.25">
      <c r="B223" s="5" t="s">
        <v>11</v>
      </c>
      <c r="C223" s="1"/>
      <c r="D223" s="1"/>
      <c r="E223" s="1"/>
      <c r="F223" s="5">
        <v>0.55000000000000004</v>
      </c>
    </row>
    <row r="224" spans="2:6" ht="24.75" x14ac:dyDescent="0.25">
      <c r="B224" s="5" t="s">
        <v>12</v>
      </c>
      <c r="C224" s="1"/>
      <c r="D224" s="1"/>
      <c r="E224" s="1"/>
      <c r="F224" s="5">
        <v>0.53</v>
      </c>
    </row>
    <row r="225" spans="2:6" ht="24.75" x14ac:dyDescent="0.25">
      <c r="B225" s="5" t="s">
        <v>13</v>
      </c>
      <c r="C225" s="1"/>
      <c r="D225" s="1"/>
      <c r="E225" s="1"/>
      <c r="F225" s="5">
        <v>0.19</v>
      </c>
    </row>
    <row r="226" spans="2:6" ht="24.75" x14ac:dyDescent="0.25">
      <c r="B226" s="5" t="s">
        <v>14</v>
      </c>
      <c r="C226" s="1"/>
      <c r="D226" s="1"/>
      <c r="E226" s="1"/>
      <c r="F226" s="5">
        <v>1.25</v>
      </c>
    </row>
    <row r="227" spans="2:6" ht="24.75" x14ac:dyDescent="0.25">
      <c r="B227" s="5" t="s">
        <v>9</v>
      </c>
      <c r="C227" s="1"/>
      <c r="D227" s="1"/>
      <c r="E227" s="1"/>
      <c r="F227" s="5">
        <v>0.26</v>
      </c>
    </row>
    <row r="228" spans="2:6" ht="24.75" x14ac:dyDescent="0.25">
      <c r="B228" s="5" t="s">
        <v>15</v>
      </c>
      <c r="C228" s="1"/>
      <c r="D228" s="1"/>
      <c r="E228" s="1"/>
      <c r="F228" s="5">
        <v>0.27</v>
      </c>
    </row>
    <row r="229" spans="2:6" ht="24.75" x14ac:dyDescent="0.25">
      <c r="B229" s="5" t="s">
        <v>16</v>
      </c>
      <c r="C229" s="1"/>
      <c r="D229" s="1"/>
      <c r="E229" s="1"/>
      <c r="F229" s="5">
        <v>0.28999999999999998</v>
      </c>
    </row>
    <row r="230" spans="2:6" x14ac:dyDescent="0.25">
      <c r="B230" s="5" t="s">
        <v>17</v>
      </c>
      <c r="C230" s="1"/>
      <c r="D230" s="1"/>
      <c r="E230" s="1"/>
      <c r="F230" s="5">
        <v>0.32</v>
      </c>
    </row>
    <row r="231" spans="2:6" x14ac:dyDescent="0.25">
      <c r="B231" s="5" t="s">
        <v>18</v>
      </c>
      <c r="C231" s="1"/>
      <c r="D231" s="1"/>
      <c r="E231" s="1"/>
      <c r="F231" s="5">
        <v>1.97</v>
      </c>
    </row>
    <row r="232" spans="2:6" x14ac:dyDescent="0.25">
      <c r="B232" s="5" t="s">
        <v>19</v>
      </c>
      <c r="C232" s="1"/>
      <c r="D232" s="1"/>
      <c r="E232" s="1"/>
      <c r="F232" s="5">
        <v>3.95</v>
      </c>
    </row>
    <row r="233" spans="2:6" x14ac:dyDescent="0.25">
      <c r="B233" s="10" t="s">
        <v>20</v>
      </c>
      <c r="C233" s="1"/>
      <c r="D233" s="1"/>
      <c r="E233" s="1"/>
      <c r="F233" s="4">
        <f>SUM(F221:F232)</f>
        <v>16.93</v>
      </c>
    </row>
    <row r="234" spans="2:6" x14ac:dyDescent="0.25">
      <c r="B234" s="3" t="s">
        <v>21</v>
      </c>
      <c r="C234" s="1"/>
      <c r="D234" s="1"/>
      <c r="E234" s="1"/>
      <c r="F234" s="1"/>
    </row>
    <row r="235" spans="2:6" x14ac:dyDescent="0.25">
      <c r="B235" s="1" t="s">
        <v>317</v>
      </c>
      <c r="C235" s="1" t="s">
        <v>256</v>
      </c>
      <c r="D235" s="1">
        <v>1</v>
      </c>
      <c r="E235" s="1">
        <v>45</v>
      </c>
      <c r="F235" s="24">
        <f>E235/1216.6*1000/12</f>
        <v>3.0823606772973862</v>
      </c>
    </row>
    <row r="236" spans="2:6" x14ac:dyDescent="0.25">
      <c r="B236" s="1" t="s">
        <v>380</v>
      </c>
      <c r="C236" s="1" t="s">
        <v>26</v>
      </c>
      <c r="D236" s="1">
        <v>700</v>
      </c>
      <c r="E236" s="1">
        <v>1050</v>
      </c>
      <c r="F236" s="24">
        <f t="shared" ref="F236:F246" si="5">E236/1216.6*1000/12</f>
        <v>71.921749136939013</v>
      </c>
    </row>
    <row r="237" spans="2:6" x14ac:dyDescent="0.25">
      <c r="B237" s="1" t="s">
        <v>327</v>
      </c>
      <c r="C237" s="1" t="s">
        <v>261</v>
      </c>
      <c r="D237" s="1">
        <v>128</v>
      </c>
      <c r="E237" s="1">
        <v>109</v>
      </c>
      <c r="F237" s="24">
        <f t="shared" si="5"/>
        <v>7.4661625294536691</v>
      </c>
    </row>
    <row r="238" spans="2:6" x14ac:dyDescent="0.25">
      <c r="B238" s="1" t="s">
        <v>275</v>
      </c>
      <c r="C238" s="1" t="s">
        <v>26</v>
      </c>
      <c r="D238" s="1">
        <v>150</v>
      </c>
      <c r="E238" s="1">
        <v>225</v>
      </c>
      <c r="F238" s="24">
        <f t="shared" si="5"/>
        <v>15.411803386486932</v>
      </c>
    </row>
    <row r="239" spans="2:6" x14ac:dyDescent="0.25">
      <c r="B239" s="1" t="s">
        <v>320</v>
      </c>
      <c r="C239" s="1" t="s">
        <v>261</v>
      </c>
      <c r="D239" s="1">
        <v>35</v>
      </c>
      <c r="E239" s="1">
        <v>66.5</v>
      </c>
      <c r="F239" s="24">
        <f t="shared" si="5"/>
        <v>4.5550441120061373</v>
      </c>
    </row>
    <row r="240" spans="2:6" x14ac:dyDescent="0.25">
      <c r="B240" s="1" t="s">
        <v>325</v>
      </c>
      <c r="C240" s="1" t="s">
        <v>261</v>
      </c>
      <c r="D240" s="1">
        <v>56</v>
      </c>
      <c r="E240" s="1">
        <v>106.4</v>
      </c>
      <c r="F240" s="24">
        <f t="shared" si="5"/>
        <v>7.2880705792098199</v>
      </c>
    </row>
    <row r="241" spans="2:6" x14ac:dyDescent="0.25">
      <c r="B241" s="1" t="s">
        <v>343</v>
      </c>
      <c r="C241" s="1" t="s">
        <v>256</v>
      </c>
      <c r="D241" s="1">
        <v>2</v>
      </c>
      <c r="E241" s="1">
        <v>160</v>
      </c>
      <c r="F241" s="24">
        <f t="shared" si="5"/>
        <v>10.959504630390706</v>
      </c>
    </row>
    <row r="242" spans="2:6" x14ac:dyDescent="0.25">
      <c r="B242" s="1" t="s">
        <v>367</v>
      </c>
      <c r="C242" s="1" t="s">
        <v>265</v>
      </c>
      <c r="D242" s="1">
        <v>2</v>
      </c>
      <c r="E242" s="1">
        <v>7</v>
      </c>
      <c r="F242" s="24">
        <f t="shared" si="5"/>
        <v>0.47947832757959347</v>
      </c>
    </row>
    <row r="243" spans="2:6" x14ac:dyDescent="0.25">
      <c r="B243" s="1" t="s">
        <v>323</v>
      </c>
      <c r="C243" s="1" t="s">
        <v>261</v>
      </c>
      <c r="D243" s="1">
        <v>160</v>
      </c>
      <c r="E243" s="1">
        <v>160</v>
      </c>
      <c r="F243" s="24">
        <f t="shared" si="5"/>
        <v>10.959504630390706</v>
      </c>
    </row>
    <row r="244" spans="2:6" x14ac:dyDescent="0.25">
      <c r="B244" s="1" t="s">
        <v>322</v>
      </c>
      <c r="C244" s="1" t="s">
        <v>261</v>
      </c>
      <c r="D244" s="1">
        <v>120</v>
      </c>
      <c r="E244" s="1">
        <v>144</v>
      </c>
      <c r="F244" s="24">
        <f t="shared" si="5"/>
        <v>9.8635541673516354</v>
      </c>
    </row>
    <row r="245" spans="2:6" x14ac:dyDescent="0.25">
      <c r="B245" s="1"/>
      <c r="C245" s="1"/>
      <c r="D245" s="1"/>
      <c r="E245" s="1"/>
      <c r="F245" s="24">
        <f t="shared" si="5"/>
        <v>0</v>
      </c>
    </row>
    <row r="246" spans="2:6" x14ac:dyDescent="0.25">
      <c r="B246" s="1"/>
      <c r="C246" s="1"/>
      <c r="D246" s="1"/>
      <c r="E246" s="1"/>
      <c r="F246" s="24">
        <f t="shared" si="5"/>
        <v>0</v>
      </c>
    </row>
    <row r="247" spans="2:6" x14ac:dyDescent="0.25">
      <c r="B247" s="10" t="s">
        <v>20</v>
      </c>
      <c r="C247" s="1"/>
      <c r="D247" s="1"/>
      <c r="E247" s="4">
        <f>SUM(E235:E246)</f>
        <v>2072.9</v>
      </c>
      <c r="F247" s="22">
        <f>SUM(F235:F246)</f>
        <v>141.9872321771056</v>
      </c>
    </row>
    <row r="248" spans="2:6" x14ac:dyDescent="0.25">
      <c r="B248" s="4" t="s">
        <v>22</v>
      </c>
      <c r="C248" s="6"/>
      <c r="D248" s="6"/>
      <c r="E248" s="6"/>
      <c r="F248" s="23">
        <f>F233+F247</f>
        <v>158.9172321771056</v>
      </c>
    </row>
    <row r="249" spans="2:6" x14ac:dyDescent="0.25">
      <c r="B249" s="7"/>
      <c r="C249" s="7"/>
      <c r="D249" s="7"/>
      <c r="E249" s="7"/>
      <c r="F249" s="7"/>
    </row>
    <row r="250" spans="2:6" x14ac:dyDescent="0.25">
      <c r="B250" s="13"/>
      <c r="C250" s="13"/>
      <c r="D250" s="13"/>
      <c r="E250" s="13"/>
      <c r="F250" s="13"/>
    </row>
    <row r="251" spans="2:6" x14ac:dyDescent="0.25">
      <c r="B251" s="13"/>
      <c r="C251" s="13"/>
      <c r="D251" s="13"/>
      <c r="E251" s="13"/>
      <c r="F251" s="13"/>
    </row>
    <row r="252" spans="2:6" x14ac:dyDescent="0.25">
      <c r="B252" s="39" t="s">
        <v>23</v>
      </c>
      <c r="C252" s="38"/>
      <c r="D252" s="38"/>
      <c r="E252" s="39" t="s">
        <v>24</v>
      </c>
      <c r="F252" s="38"/>
    </row>
    <row r="254" spans="2:6" ht="28.9" customHeight="1" x14ac:dyDescent="0.25">
      <c r="B254" s="37" t="s">
        <v>66</v>
      </c>
      <c r="C254" s="37"/>
      <c r="D254" s="37"/>
      <c r="E254" s="37"/>
      <c r="F254" s="37"/>
    </row>
    <row r="255" spans="2:6" ht="33.6" customHeight="1" x14ac:dyDescent="0.25">
      <c r="B255" s="37" t="s">
        <v>1</v>
      </c>
      <c r="C255" s="37"/>
      <c r="D255" s="37"/>
      <c r="E255" s="37"/>
      <c r="F255" s="37"/>
    </row>
    <row r="256" spans="2:6" x14ac:dyDescent="0.25">
      <c r="B256" s="14" t="s">
        <v>0</v>
      </c>
      <c r="C256" s="14"/>
      <c r="D256" s="14"/>
      <c r="E256" s="14"/>
      <c r="F256" s="14"/>
    </row>
    <row r="257" spans="2:6" x14ac:dyDescent="0.25">
      <c r="B257" s="12"/>
      <c r="C257" s="38" t="s">
        <v>25</v>
      </c>
      <c r="D257" s="38"/>
      <c r="E257" s="12">
        <v>372.2</v>
      </c>
      <c r="F257" s="12" t="s">
        <v>26</v>
      </c>
    </row>
    <row r="259" spans="2:6" ht="60" x14ac:dyDescent="0.25">
      <c r="B259" s="1" t="s">
        <v>2</v>
      </c>
      <c r="C259" s="1" t="s">
        <v>4</v>
      </c>
      <c r="D259" s="1" t="s">
        <v>3</v>
      </c>
      <c r="E259" s="1" t="s">
        <v>447</v>
      </c>
      <c r="F259" s="1" t="s">
        <v>5</v>
      </c>
    </row>
    <row r="260" spans="2:6" x14ac:dyDescent="0.25">
      <c r="B260" s="1"/>
      <c r="C260" s="1"/>
      <c r="D260" s="1"/>
      <c r="E260" s="1"/>
      <c r="F260" s="1"/>
    </row>
    <row r="261" spans="2:6" x14ac:dyDescent="0.25">
      <c r="B261" s="3" t="s">
        <v>6</v>
      </c>
      <c r="C261" s="1"/>
      <c r="D261" s="1"/>
      <c r="E261" s="1"/>
      <c r="F261" s="1"/>
    </row>
    <row r="262" spans="2:6" x14ac:dyDescent="0.25">
      <c r="B262" s="5" t="s">
        <v>7</v>
      </c>
      <c r="C262" s="1"/>
      <c r="D262" s="1"/>
      <c r="E262" s="1"/>
      <c r="F262" s="5">
        <v>2.0099999999999998</v>
      </c>
    </row>
    <row r="263" spans="2:6" x14ac:dyDescent="0.25">
      <c r="B263" s="5" t="s">
        <v>8</v>
      </c>
      <c r="C263" s="1"/>
      <c r="D263" s="1"/>
      <c r="E263" s="1"/>
      <c r="F263" s="5">
        <v>5.34</v>
      </c>
    </row>
    <row r="264" spans="2:6" ht="24.75" x14ac:dyDescent="0.25">
      <c r="B264" s="5" t="s">
        <v>11</v>
      </c>
      <c r="C264" s="1"/>
      <c r="D264" s="1"/>
      <c r="E264" s="1"/>
      <c r="F264" s="5">
        <v>0.55000000000000004</v>
      </c>
    </row>
    <row r="265" spans="2:6" ht="24.75" x14ac:dyDescent="0.25">
      <c r="B265" s="5" t="s">
        <v>12</v>
      </c>
      <c r="C265" s="1"/>
      <c r="D265" s="1"/>
      <c r="E265" s="1"/>
      <c r="F265" s="5">
        <v>0.53</v>
      </c>
    </row>
    <row r="266" spans="2:6" ht="24.75" x14ac:dyDescent="0.25">
      <c r="B266" s="5" t="s">
        <v>13</v>
      </c>
      <c r="C266" s="1"/>
      <c r="D266" s="1"/>
      <c r="E266" s="1"/>
      <c r="F266" s="5">
        <v>0.19</v>
      </c>
    </row>
    <row r="267" spans="2:6" ht="24.75" x14ac:dyDescent="0.25">
      <c r="B267" s="5" t="s">
        <v>14</v>
      </c>
      <c r="C267" s="1"/>
      <c r="D267" s="1"/>
      <c r="E267" s="1"/>
      <c r="F267" s="5">
        <v>1.25</v>
      </c>
    </row>
    <row r="268" spans="2:6" ht="24.75" x14ac:dyDescent="0.25">
      <c r="B268" s="5" t="s">
        <v>9</v>
      </c>
      <c r="C268" s="1"/>
      <c r="D268" s="1"/>
      <c r="E268" s="1"/>
      <c r="F268" s="5">
        <v>0.26</v>
      </c>
    </row>
    <row r="269" spans="2:6" ht="24.75" x14ac:dyDescent="0.25">
      <c r="B269" s="5" t="s">
        <v>15</v>
      </c>
      <c r="C269" s="1"/>
      <c r="D269" s="1"/>
      <c r="E269" s="1"/>
      <c r="F269" s="5">
        <v>0.27</v>
      </c>
    </row>
    <row r="270" spans="2:6" ht="24.75" x14ac:dyDescent="0.25">
      <c r="B270" s="5" t="s">
        <v>16</v>
      </c>
      <c r="C270" s="1"/>
      <c r="D270" s="1"/>
      <c r="E270" s="1"/>
      <c r="F270" s="5">
        <v>0.28999999999999998</v>
      </c>
    </row>
    <row r="271" spans="2:6" x14ac:dyDescent="0.25">
      <c r="B271" s="5" t="s">
        <v>17</v>
      </c>
      <c r="C271" s="1"/>
      <c r="D271" s="1"/>
      <c r="E271" s="1"/>
      <c r="F271" s="5">
        <v>0.32</v>
      </c>
    </row>
    <row r="272" spans="2:6" x14ac:dyDescent="0.25">
      <c r="B272" s="5" t="s">
        <v>18</v>
      </c>
      <c r="C272" s="1"/>
      <c r="D272" s="1"/>
      <c r="E272" s="1"/>
      <c r="F272" s="5">
        <v>1.97</v>
      </c>
    </row>
    <row r="273" spans="2:6" x14ac:dyDescent="0.25">
      <c r="B273" s="5" t="s">
        <v>19</v>
      </c>
      <c r="C273" s="1"/>
      <c r="D273" s="1"/>
      <c r="E273" s="1"/>
      <c r="F273" s="5">
        <v>3.95</v>
      </c>
    </row>
    <row r="274" spans="2:6" x14ac:dyDescent="0.25">
      <c r="B274" s="10" t="s">
        <v>20</v>
      </c>
      <c r="C274" s="1"/>
      <c r="D274" s="1"/>
      <c r="E274" s="1"/>
      <c r="F274" s="4">
        <f>SUM(F262:F273)</f>
        <v>16.93</v>
      </c>
    </row>
    <row r="275" spans="2:6" x14ac:dyDescent="0.25">
      <c r="B275" s="3" t="s">
        <v>21</v>
      </c>
      <c r="C275" s="1"/>
      <c r="D275" s="1"/>
      <c r="E275" s="1"/>
      <c r="F275" s="1"/>
    </row>
    <row r="276" spans="2:6" x14ac:dyDescent="0.25">
      <c r="B276" s="1" t="s">
        <v>317</v>
      </c>
      <c r="C276" s="1" t="s">
        <v>256</v>
      </c>
      <c r="D276" s="1">
        <v>1</v>
      </c>
      <c r="E276" s="1">
        <v>45</v>
      </c>
      <c r="F276" s="24">
        <f>E276/372.2*1000/12</f>
        <v>10.075228371843096</v>
      </c>
    </row>
    <row r="277" spans="2:6" x14ac:dyDescent="0.25">
      <c r="B277" s="1" t="s">
        <v>327</v>
      </c>
      <c r="C277" s="1" t="s">
        <v>261</v>
      </c>
      <c r="D277" s="1">
        <v>149</v>
      </c>
      <c r="E277" s="1">
        <v>127</v>
      </c>
      <c r="F277" s="24">
        <f t="shared" ref="F277:F288" si="6">E277/372.2*1000/12</f>
        <v>28.434533404979405</v>
      </c>
    </row>
    <row r="278" spans="2:6" x14ac:dyDescent="0.25">
      <c r="B278" s="1" t="s">
        <v>275</v>
      </c>
      <c r="C278" s="1" t="s">
        <v>26</v>
      </c>
      <c r="D278" s="1">
        <v>70</v>
      </c>
      <c r="E278" s="1">
        <v>105</v>
      </c>
      <c r="F278" s="24">
        <f t="shared" si="6"/>
        <v>23.508866200967223</v>
      </c>
    </row>
    <row r="279" spans="2:6" x14ac:dyDescent="0.25">
      <c r="B279" s="1" t="s">
        <v>335</v>
      </c>
      <c r="C279" s="1" t="s">
        <v>26</v>
      </c>
      <c r="D279" s="1">
        <v>12</v>
      </c>
      <c r="E279" s="1">
        <v>7.2</v>
      </c>
      <c r="F279" s="24">
        <f t="shared" si="6"/>
        <v>1.6120365394948954</v>
      </c>
    </row>
    <row r="280" spans="2:6" x14ac:dyDescent="0.25">
      <c r="B280" s="1" t="s">
        <v>330</v>
      </c>
      <c r="C280" s="1" t="s">
        <v>261</v>
      </c>
      <c r="D280" s="1">
        <v>34</v>
      </c>
      <c r="E280" s="1">
        <v>44.2</v>
      </c>
      <c r="F280" s="24">
        <f t="shared" si="6"/>
        <v>9.8961132007881076</v>
      </c>
    </row>
    <row r="281" spans="2:6" x14ac:dyDescent="0.25">
      <c r="B281" s="1" t="s">
        <v>319</v>
      </c>
      <c r="C281" s="1" t="s">
        <v>261</v>
      </c>
      <c r="D281" s="1">
        <v>4</v>
      </c>
      <c r="E281" s="1">
        <v>5.2</v>
      </c>
      <c r="F281" s="24">
        <f t="shared" si="6"/>
        <v>1.1642486118574242</v>
      </c>
    </row>
    <row r="282" spans="2:6" x14ac:dyDescent="0.25">
      <c r="B282" s="1" t="s">
        <v>320</v>
      </c>
      <c r="C282" s="1" t="s">
        <v>261</v>
      </c>
      <c r="D282" s="1">
        <v>30</v>
      </c>
      <c r="E282" s="1">
        <v>57</v>
      </c>
      <c r="F282" s="24">
        <f t="shared" si="6"/>
        <v>12.761955937667921</v>
      </c>
    </row>
    <row r="283" spans="2:6" x14ac:dyDescent="0.25">
      <c r="B283" s="1" t="s">
        <v>325</v>
      </c>
      <c r="C283" s="1" t="s">
        <v>261</v>
      </c>
      <c r="D283" s="1">
        <v>20</v>
      </c>
      <c r="E283" s="1">
        <v>38</v>
      </c>
      <c r="F283" s="24">
        <f t="shared" si="6"/>
        <v>8.5079706251119465</v>
      </c>
    </row>
    <row r="284" spans="2:6" x14ac:dyDescent="0.25">
      <c r="B284" s="1" t="s">
        <v>343</v>
      </c>
      <c r="C284" s="1" t="s">
        <v>256</v>
      </c>
      <c r="D284" s="1">
        <v>1</v>
      </c>
      <c r="E284" s="1">
        <v>50</v>
      </c>
      <c r="F284" s="24">
        <f t="shared" si="6"/>
        <v>11.194698190936771</v>
      </c>
    </row>
    <row r="285" spans="2:6" x14ac:dyDescent="0.25">
      <c r="B285" s="1" t="s">
        <v>379</v>
      </c>
      <c r="C285" s="1" t="s">
        <v>265</v>
      </c>
      <c r="D285" s="1">
        <v>2</v>
      </c>
      <c r="E285" s="1">
        <v>7</v>
      </c>
      <c r="F285" s="24">
        <f t="shared" si="6"/>
        <v>1.5672577467311479</v>
      </c>
    </row>
    <row r="286" spans="2:6" x14ac:dyDescent="0.25">
      <c r="B286" s="1" t="s">
        <v>322</v>
      </c>
      <c r="C286" s="1" t="s">
        <v>261</v>
      </c>
      <c r="D286" s="1">
        <v>120</v>
      </c>
      <c r="E286" s="1">
        <v>144</v>
      </c>
      <c r="F286" s="24">
        <f t="shared" si="6"/>
        <v>32.240730789897903</v>
      </c>
    </row>
    <row r="287" spans="2:6" x14ac:dyDescent="0.25">
      <c r="B287" s="1" t="s">
        <v>323</v>
      </c>
      <c r="C287" s="1" t="s">
        <v>261</v>
      </c>
      <c r="D287" s="1">
        <v>160</v>
      </c>
      <c r="E287" s="1">
        <v>160</v>
      </c>
      <c r="F287" s="24">
        <f t="shared" si="6"/>
        <v>35.823034210997669</v>
      </c>
    </row>
    <row r="288" spans="2:6" x14ac:dyDescent="0.25">
      <c r="B288" s="1"/>
      <c r="C288" s="1"/>
      <c r="D288" s="1"/>
      <c r="E288" s="1"/>
      <c r="F288" s="24">
        <f t="shared" si="6"/>
        <v>0</v>
      </c>
    </row>
    <row r="289" spans="2:6" x14ac:dyDescent="0.25">
      <c r="B289" s="10" t="s">
        <v>20</v>
      </c>
      <c r="C289" s="1"/>
      <c r="D289" s="1"/>
      <c r="E289" s="4">
        <f>SUM(E276:E288)</f>
        <v>789.59999999999991</v>
      </c>
      <c r="F289" s="22">
        <f>SUM(F276:F288)</f>
        <v>176.7866738312735</v>
      </c>
    </row>
    <row r="290" spans="2:6" x14ac:dyDescent="0.25">
      <c r="B290" s="4" t="s">
        <v>22</v>
      </c>
      <c r="C290" s="6"/>
      <c r="D290" s="6"/>
      <c r="E290" s="6"/>
      <c r="F290" s="23">
        <f>F274+F289</f>
        <v>193.71667383127351</v>
      </c>
    </row>
    <row r="291" spans="2:6" x14ac:dyDescent="0.25">
      <c r="B291" s="7"/>
      <c r="C291" s="7"/>
      <c r="D291" s="7"/>
      <c r="E291" s="7"/>
      <c r="F291" s="7"/>
    </row>
    <row r="292" spans="2:6" x14ac:dyDescent="0.25">
      <c r="B292" s="13"/>
      <c r="C292" s="13"/>
      <c r="D292" s="13"/>
      <c r="E292" s="13"/>
      <c r="F292" s="13"/>
    </row>
    <row r="293" spans="2:6" x14ac:dyDescent="0.25">
      <c r="B293" s="13"/>
      <c r="C293" s="13"/>
      <c r="D293" s="13"/>
      <c r="E293" s="13"/>
      <c r="F293" s="13"/>
    </row>
    <row r="294" spans="2:6" x14ac:dyDescent="0.25">
      <c r="B294" s="39" t="s">
        <v>23</v>
      </c>
      <c r="C294" s="38"/>
      <c r="D294" s="38"/>
      <c r="E294" s="39" t="s">
        <v>24</v>
      </c>
      <c r="F294" s="38"/>
    </row>
    <row r="296" spans="2:6" ht="31.9" customHeight="1" x14ac:dyDescent="0.25">
      <c r="B296" s="37" t="s">
        <v>67</v>
      </c>
      <c r="C296" s="37"/>
      <c r="D296" s="37"/>
      <c r="E296" s="37"/>
      <c r="F296" s="37"/>
    </row>
    <row r="297" spans="2:6" ht="32.450000000000003" customHeight="1" x14ac:dyDescent="0.25">
      <c r="B297" s="37" t="s">
        <v>1</v>
      </c>
      <c r="C297" s="37"/>
      <c r="D297" s="37"/>
      <c r="E297" s="37"/>
      <c r="F297" s="37"/>
    </row>
    <row r="298" spans="2:6" x14ac:dyDescent="0.25">
      <c r="B298" s="14" t="s">
        <v>0</v>
      </c>
      <c r="C298" s="14"/>
      <c r="D298" s="14"/>
      <c r="E298" s="14"/>
      <c r="F298" s="14"/>
    </row>
    <row r="299" spans="2:6" x14ac:dyDescent="0.25">
      <c r="B299" s="12"/>
      <c r="C299" s="38" t="s">
        <v>25</v>
      </c>
      <c r="D299" s="38"/>
      <c r="E299" s="12">
        <v>370.4</v>
      </c>
      <c r="F299" s="12" t="s">
        <v>26</v>
      </c>
    </row>
    <row r="301" spans="2:6" ht="60" x14ac:dyDescent="0.25">
      <c r="B301" s="1" t="s">
        <v>2</v>
      </c>
      <c r="C301" s="1" t="s">
        <v>4</v>
      </c>
      <c r="D301" s="1" t="s">
        <v>3</v>
      </c>
      <c r="E301" s="1" t="s">
        <v>447</v>
      </c>
      <c r="F301" s="1" t="s">
        <v>5</v>
      </c>
    </row>
    <row r="302" spans="2:6" x14ac:dyDescent="0.25">
      <c r="B302" s="1"/>
      <c r="C302" s="1"/>
      <c r="D302" s="1"/>
      <c r="E302" s="1"/>
      <c r="F302" s="1"/>
    </row>
    <row r="303" spans="2:6" x14ac:dyDescent="0.25">
      <c r="B303" s="3" t="s">
        <v>6</v>
      </c>
      <c r="C303" s="1"/>
      <c r="D303" s="1"/>
      <c r="E303" s="1"/>
      <c r="F303" s="1"/>
    </row>
    <row r="304" spans="2:6" x14ac:dyDescent="0.25">
      <c r="B304" s="5" t="s">
        <v>7</v>
      </c>
      <c r="C304" s="1"/>
      <c r="D304" s="1"/>
      <c r="E304" s="1"/>
      <c r="F304" s="5">
        <v>2.0099999999999998</v>
      </c>
    </row>
    <row r="305" spans="2:6" x14ac:dyDescent="0.25">
      <c r="B305" s="5" t="s">
        <v>8</v>
      </c>
      <c r="C305" s="1"/>
      <c r="D305" s="1"/>
      <c r="E305" s="1"/>
      <c r="F305" s="5">
        <v>5.34</v>
      </c>
    </row>
    <row r="306" spans="2:6" ht="24.75" x14ac:dyDescent="0.25">
      <c r="B306" s="5" t="s">
        <v>11</v>
      </c>
      <c r="C306" s="1"/>
      <c r="D306" s="1"/>
      <c r="E306" s="1"/>
      <c r="F306" s="5">
        <v>0.55000000000000004</v>
      </c>
    </row>
    <row r="307" spans="2:6" ht="24.75" x14ac:dyDescent="0.25">
      <c r="B307" s="5" t="s">
        <v>12</v>
      </c>
      <c r="C307" s="1"/>
      <c r="D307" s="1"/>
      <c r="E307" s="1"/>
      <c r="F307" s="5">
        <v>0.53</v>
      </c>
    </row>
    <row r="308" spans="2:6" ht="24.75" x14ac:dyDescent="0.25">
      <c r="B308" s="5" t="s">
        <v>13</v>
      </c>
      <c r="C308" s="1"/>
      <c r="D308" s="1"/>
      <c r="E308" s="1"/>
      <c r="F308" s="5">
        <v>0.19</v>
      </c>
    </row>
    <row r="309" spans="2:6" ht="24.75" x14ac:dyDescent="0.25">
      <c r="B309" s="5" t="s">
        <v>14</v>
      </c>
      <c r="C309" s="1"/>
      <c r="D309" s="1"/>
      <c r="E309" s="1"/>
      <c r="F309" s="5">
        <v>1.25</v>
      </c>
    </row>
    <row r="310" spans="2:6" ht="24.75" x14ac:dyDescent="0.25">
      <c r="B310" s="5" t="s">
        <v>9</v>
      </c>
      <c r="C310" s="1"/>
      <c r="D310" s="1"/>
      <c r="E310" s="1"/>
      <c r="F310" s="5">
        <v>0.26</v>
      </c>
    </row>
    <row r="311" spans="2:6" ht="24.75" x14ac:dyDescent="0.25">
      <c r="B311" s="5" t="s">
        <v>15</v>
      </c>
      <c r="C311" s="1"/>
      <c r="D311" s="1"/>
      <c r="E311" s="1"/>
      <c r="F311" s="5">
        <v>0.27</v>
      </c>
    </row>
    <row r="312" spans="2:6" ht="24.75" x14ac:dyDescent="0.25">
      <c r="B312" s="5" t="s">
        <v>16</v>
      </c>
      <c r="C312" s="1"/>
      <c r="D312" s="1"/>
      <c r="E312" s="1"/>
      <c r="F312" s="5">
        <v>0.28999999999999998</v>
      </c>
    </row>
    <row r="313" spans="2:6" x14ac:dyDescent="0.25">
      <c r="B313" s="5" t="s">
        <v>17</v>
      </c>
      <c r="C313" s="1"/>
      <c r="D313" s="1"/>
      <c r="E313" s="1"/>
      <c r="F313" s="5">
        <v>0.32</v>
      </c>
    </row>
    <row r="314" spans="2:6" x14ac:dyDescent="0.25">
      <c r="B314" s="5" t="s">
        <v>18</v>
      </c>
      <c r="C314" s="1"/>
      <c r="D314" s="1"/>
      <c r="E314" s="1"/>
      <c r="F314" s="5">
        <v>1.97</v>
      </c>
    </row>
    <row r="315" spans="2:6" x14ac:dyDescent="0.25">
      <c r="B315" s="5" t="s">
        <v>19</v>
      </c>
      <c r="C315" s="1"/>
      <c r="D315" s="1"/>
      <c r="E315" s="1"/>
      <c r="F315" s="5">
        <v>3.95</v>
      </c>
    </row>
    <row r="316" spans="2:6" x14ac:dyDescent="0.25">
      <c r="B316" s="10" t="s">
        <v>20</v>
      </c>
      <c r="C316" s="1"/>
      <c r="D316" s="1"/>
      <c r="E316" s="1"/>
      <c r="F316" s="4">
        <f>SUM(F304:F315)</f>
        <v>16.93</v>
      </c>
    </row>
    <row r="317" spans="2:6" x14ac:dyDescent="0.25">
      <c r="B317" s="3" t="s">
        <v>21</v>
      </c>
      <c r="C317" s="1"/>
      <c r="D317" s="1"/>
      <c r="E317" s="1"/>
      <c r="F317" s="1"/>
    </row>
    <row r="318" spans="2:6" x14ac:dyDescent="0.25">
      <c r="B318" s="1" t="s">
        <v>347</v>
      </c>
      <c r="C318" s="1" t="s">
        <v>26</v>
      </c>
      <c r="D318" s="1">
        <v>650</v>
      </c>
      <c r="E318" s="1">
        <v>162.5</v>
      </c>
      <c r="F318" s="24">
        <f>E318/370.4*1000/12</f>
        <v>36.559575233981285</v>
      </c>
    </row>
    <row r="319" spans="2:6" x14ac:dyDescent="0.25">
      <c r="B319" s="1" t="s">
        <v>327</v>
      </c>
      <c r="C319" s="1" t="s">
        <v>261</v>
      </c>
      <c r="D319" s="1">
        <v>148</v>
      </c>
      <c r="E319" s="1">
        <v>126</v>
      </c>
      <c r="F319" s="24">
        <f t="shared" ref="F319:F330" si="7">E319/370.4*1000/12</f>
        <v>28.347732181425485</v>
      </c>
    </row>
    <row r="320" spans="2:6" x14ac:dyDescent="0.25">
      <c r="B320" s="1" t="s">
        <v>275</v>
      </c>
      <c r="C320" s="1" t="s">
        <v>26</v>
      </c>
      <c r="D320" s="1">
        <v>80</v>
      </c>
      <c r="E320" s="1">
        <v>120</v>
      </c>
      <c r="F320" s="24">
        <f t="shared" si="7"/>
        <v>26.99784017278618</v>
      </c>
    </row>
    <row r="321" spans="2:6" x14ac:dyDescent="0.25">
      <c r="B321" s="1" t="s">
        <v>335</v>
      </c>
      <c r="C321" s="1" t="s">
        <v>26</v>
      </c>
      <c r="D321" s="1">
        <v>10</v>
      </c>
      <c r="E321" s="1">
        <v>6</v>
      </c>
      <c r="F321" s="24">
        <f t="shared" si="7"/>
        <v>1.3498920086393091</v>
      </c>
    </row>
    <row r="322" spans="2:6" x14ac:dyDescent="0.25">
      <c r="B322" s="1" t="s">
        <v>329</v>
      </c>
      <c r="C322" s="1" t="s">
        <v>26</v>
      </c>
      <c r="D322" s="1">
        <v>40</v>
      </c>
      <c r="E322" s="1">
        <v>48</v>
      </c>
      <c r="F322" s="24">
        <f t="shared" si="7"/>
        <v>10.799136069114473</v>
      </c>
    </row>
    <row r="323" spans="2:6" x14ac:dyDescent="0.25">
      <c r="B323" s="1" t="s">
        <v>330</v>
      </c>
      <c r="C323" s="1" t="s">
        <v>261</v>
      </c>
      <c r="D323" s="1">
        <v>34</v>
      </c>
      <c r="E323" s="1">
        <v>44.2</v>
      </c>
      <c r="F323" s="24">
        <f t="shared" si="7"/>
        <v>9.9442044636429099</v>
      </c>
    </row>
    <row r="324" spans="2:6" x14ac:dyDescent="0.25">
      <c r="B324" s="1" t="s">
        <v>319</v>
      </c>
      <c r="C324" s="1" t="s">
        <v>261</v>
      </c>
      <c r="D324" s="1">
        <v>12</v>
      </c>
      <c r="E324" s="1">
        <v>15.6</v>
      </c>
      <c r="F324" s="24">
        <f t="shared" si="7"/>
        <v>3.5097192224622034</v>
      </c>
    </row>
    <row r="325" spans="2:6" x14ac:dyDescent="0.25">
      <c r="B325" s="1" t="s">
        <v>320</v>
      </c>
      <c r="C325" s="1" t="s">
        <v>261</v>
      </c>
      <c r="D325" s="1">
        <v>26</v>
      </c>
      <c r="E325" s="1">
        <v>49.4</v>
      </c>
      <c r="F325" s="24">
        <f t="shared" si="7"/>
        <v>11.114110871130309</v>
      </c>
    </row>
    <row r="326" spans="2:6" x14ac:dyDescent="0.25">
      <c r="B326" s="1" t="s">
        <v>377</v>
      </c>
      <c r="C326" s="1" t="s">
        <v>261</v>
      </c>
      <c r="D326" s="1">
        <v>26</v>
      </c>
      <c r="E326" s="1">
        <v>49.4</v>
      </c>
      <c r="F326" s="24">
        <f t="shared" si="7"/>
        <v>11.114110871130309</v>
      </c>
    </row>
    <row r="327" spans="2:6" x14ac:dyDescent="0.25">
      <c r="B327" s="1" t="s">
        <v>367</v>
      </c>
      <c r="C327" s="1" t="s">
        <v>265</v>
      </c>
      <c r="D327" s="1">
        <v>2</v>
      </c>
      <c r="E327" s="1">
        <v>7</v>
      </c>
      <c r="F327" s="24">
        <f t="shared" si="7"/>
        <v>1.5748740100791938</v>
      </c>
    </row>
    <row r="328" spans="2:6" x14ac:dyDescent="0.25">
      <c r="B328" s="1" t="s">
        <v>322</v>
      </c>
      <c r="C328" s="1" t="s">
        <v>261</v>
      </c>
      <c r="D328" s="1">
        <v>120</v>
      </c>
      <c r="E328" s="1">
        <v>144</v>
      </c>
      <c r="F328" s="24">
        <f t="shared" si="7"/>
        <v>32.39740820734341</v>
      </c>
    </row>
    <row r="329" spans="2:6" x14ac:dyDescent="0.25">
      <c r="B329" s="1" t="s">
        <v>323</v>
      </c>
      <c r="C329" s="1" t="s">
        <v>261</v>
      </c>
      <c r="D329" s="1">
        <v>160</v>
      </c>
      <c r="E329" s="1">
        <v>160</v>
      </c>
      <c r="F329" s="24">
        <f t="shared" si="7"/>
        <v>35.997120230381576</v>
      </c>
    </row>
    <row r="330" spans="2:6" x14ac:dyDescent="0.25">
      <c r="B330" s="1"/>
      <c r="C330" s="1"/>
      <c r="D330" s="1"/>
      <c r="E330" s="1"/>
      <c r="F330" s="24">
        <f t="shared" si="7"/>
        <v>0</v>
      </c>
    </row>
    <row r="331" spans="2:6" x14ac:dyDescent="0.25">
      <c r="B331" s="10" t="s">
        <v>20</v>
      </c>
      <c r="C331" s="1"/>
      <c r="D331" s="1"/>
      <c r="E331" s="4">
        <f>SUM(E318:E330)</f>
        <v>932.09999999999991</v>
      </c>
      <c r="F331" s="22">
        <f>SUM(F318:F330)</f>
        <v>209.70572354211663</v>
      </c>
    </row>
    <row r="332" spans="2:6" x14ac:dyDescent="0.25">
      <c r="B332" s="4" t="s">
        <v>22</v>
      </c>
      <c r="C332" s="6"/>
      <c r="D332" s="6"/>
      <c r="E332" s="6"/>
      <c r="F332" s="23">
        <f>F316+F331</f>
        <v>226.63572354211664</v>
      </c>
    </row>
    <row r="333" spans="2:6" x14ac:dyDescent="0.25">
      <c r="B333" s="7"/>
      <c r="C333" s="7"/>
      <c r="D333" s="7"/>
      <c r="E333" s="7"/>
      <c r="F333" s="7"/>
    </row>
    <row r="334" spans="2:6" x14ac:dyDescent="0.25">
      <c r="B334" s="13"/>
      <c r="C334" s="13"/>
      <c r="D334" s="13"/>
      <c r="E334" s="13"/>
      <c r="F334" s="13"/>
    </row>
    <row r="335" spans="2:6" x14ac:dyDescent="0.25">
      <c r="B335" s="13"/>
      <c r="C335" s="13"/>
      <c r="D335" s="13"/>
      <c r="E335" s="13"/>
      <c r="F335" s="13"/>
    </row>
    <row r="336" spans="2:6" x14ac:dyDescent="0.25">
      <c r="B336" s="39" t="s">
        <v>23</v>
      </c>
      <c r="C336" s="38"/>
      <c r="D336" s="38"/>
      <c r="E336" s="39" t="s">
        <v>24</v>
      </c>
      <c r="F336" s="38"/>
    </row>
  </sheetData>
  <mergeCells count="40">
    <mergeCell ref="B43:F43"/>
    <mergeCell ref="B1:F1"/>
    <mergeCell ref="B2:F2"/>
    <mergeCell ref="C4:D4"/>
    <mergeCell ref="B41:D41"/>
    <mergeCell ref="E41:F41"/>
    <mergeCell ref="C131:D131"/>
    <mergeCell ref="B44:F44"/>
    <mergeCell ref="C46:D46"/>
    <mergeCell ref="B84:D84"/>
    <mergeCell ref="E84:F84"/>
    <mergeCell ref="B86:F86"/>
    <mergeCell ref="B87:F87"/>
    <mergeCell ref="C89:D89"/>
    <mergeCell ref="B126:D126"/>
    <mergeCell ref="E126:F126"/>
    <mergeCell ref="B128:F128"/>
    <mergeCell ref="B129:F129"/>
    <mergeCell ref="B254:F254"/>
    <mergeCell ref="B169:D169"/>
    <mergeCell ref="E169:F169"/>
    <mergeCell ref="B171:F171"/>
    <mergeCell ref="B172:F172"/>
    <mergeCell ref="C174:D174"/>
    <mergeCell ref="B211:D211"/>
    <mergeCell ref="E211:F211"/>
    <mergeCell ref="B213:F213"/>
    <mergeCell ref="B214:F214"/>
    <mergeCell ref="C216:D216"/>
    <mergeCell ref="B252:D252"/>
    <mergeCell ref="E252:F252"/>
    <mergeCell ref="C299:D299"/>
    <mergeCell ref="B336:D336"/>
    <mergeCell ref="E336:F336"/>
    <mergeCell ref="B255:F255"/>
    <mergeCell ref="C257:D257"/>
    <mergeCell ref="B294:D294"/>
    <mergeCell ref="E294:F294"/>
    <mergeCell ref="B296:F296"/>
    <mergeCell ref="B297:F29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43"/>
  <sheetViews>
    <sheetView topLeftCell="A331" workbookViewId="0">
      <selection activeCell="F205" sqref="F205"/>
    </sheetView>
  </sheetViews>
  <sheetFormatPr defaultRowHeight="15" x14ac:dyDescent="0.25"/>
  <cols>
    <col min="2" max="2" width="38" customWidth="1"/>
    <col min="6" max="6" width="11.42578125" bestFit="1" customWidth="1"/>
  </cols>
  <sheetData>
    <row r="1" spans="2:6" ht="30.6" customHeight="1" x14ac:dyDescent="0.25">
      <c r="B1" s="37" t="s">
        <v>68</v>
      </c>
      <c r="C1" s="37"/>
      <c r="D1" s="37"/>
      <c r="E1" s="37"/>
      <c r="F1" s="37"/>
    </row>
    <row r="2" spans="2:6" ht="36.6" customHeight="1" x14ac:dyDescent="0.25">
      <c r="B2" s="37" t="s">
        <v>1</v>
      </c>
      <c r="C2" s="37"/>
      <c r="D2" s="37"/>
      <c r="E2" s="37"/>
      <c r="F2" s="37"/>
    </row>
    <row r="3" spans="2:6" x14ac:dyDescent="0.25">
      <c r="B3" s="14" t="s">
        <v>0</v>
      </c>
      <c r="C3" s="14"/>
      <c r="D3" s="14"/>
      <c r="E3" s="14"/>
      <c r="F3" s="14"/>
    </row>
    <row r="4" spans="2:6" x14ac:dyDescent="0.25">
      <c r="B4" s="12"/>
      <c r="C4" s="38" t="s">
        <v>25</v>
      </c>
      <c r="D4" s="38"/>
      <c r="E4" s="12">
        <v>580</v>
      </c>
      <c r="F4" s="12" t="s">
        <v>26</v>
      </c>
    </row>
    <row r="6" spans="2:6" ht="60" x14ac:dyDescent="0.25">
      <c r="B6" s="1" t="s">
        <v>2</v>
      </c>
      <c r="C6" s="1" t="s">
        <v>4</v>
      </c>
      <c r="D6" s="1" t="s">
        <v>3</v>
      </c>
      <c r="E6" s="1" t="s">
        <v>447</v>
      </c>
      <c r="F6" s="1" t="s">
        <v>5</v>
      </c>
    </row>
    <row r="7" spans="2:6" x14ac:dyDescent="0.25">
      <c r="B7" s="1"/>
      <c r="C7" s="1"/>
      <c r="D7" s="1"/>
      <c r="E7" s="1"/>
      <c r="F7" s="1"/>
    </row>
    <row r="8" spans="2:6" x14ac:dyDescent="0.25">
      <c r="B8" s="3" t="s">
        <v>6</v>
      </c>
      <c r="C8" s="1"/>
      <c r="D8" s="1"/>
      <c r="E8" s="1"/>
      <c r="F8" s="1"/>
    </row>
    <row r="9" spans="2:6" x14ac:dyDescent="0.25">
      <c r="B9" s="5" t="s">
        <v>7</v>
      </c>
      <c r="C9" s="1"/>
      <c r="D9" s="1"/>
      <c r="E9" s="1"/>
      <c r="F9" s="5">
        <v>2.0099999999999998</v>
      </c>
    </row>
    <row r="10" spans="2:6" x14ac:dyDescent="0.25">
      <c r="B10" s="5" t="s">
        <v>8</v>
      </c>
      <c r="C10" s="1"/>
      <c r="D10" s="1"/>
      <c r="E10" s="1"/>
      <c r="F10" s="5">
        <v>5.34</v>
      </c>
    </row>
    <row r="11" spans="2:6" ht="24.75" x14ac:dyDescent="0.25">
      <c r="B11" s="5" t="s">
        <v>11</v>
      </c>
      <c r="C11" s="1"/>
      <c r="D11" s="1"/>
      <c r="E11" s="1"/>
      <c r="F11" s="5">
        <v>0.55000000000000004</v>
      </c>
    </row>
    <row r="12" spans="2:6" ht="24.75" x14ac:dyDescent="0.25">
      <c r="B12" s="5" t="s">
        <v>12</v>
      </c>
      <c r="C12" s="1"/>
      <c r="D12" s="1"/>
      <c r="E12" s="1"/>
      <c r="F12" s="5">
        <v>0.53</v>
      </c>
    </row>
    <row r="13" spans="2:6" ht="24.75" x14ac:dyDescent="0.25">
      <c r="B13" s="5" t="s">
        <v>13</v>
      </c>
      <c r="C13" s="1"/>
      <c r="D13" s="1"/>
      <c r="E13" s="1"/>
      <c r="F13" s="5">
        <v>0.19</v>
      </c>
    </row>
    <row r="14" spans="2:6" ht="24.75" x14ac:dyDescent="0.25">
      <c r="B14" s="5" t="s">
        <v>14</v>
      </c>
      <c r="C14" s="1"/>
      <c r="D14" s="1"/>
      <c r="E14" s="1"/>
      <c r="F14" s="5">
        <v>1.25</v>
      </c>
    </row>
    <row r="15" spans="2:6" ht="24.75" x14ac:dyDescent="0.25">
      <c r="B15" s="5" t="s">
        <v>9</v>
      </c>
      <c r="C15" s="1"/>
      <c r="D15" s="1"/>
      <c r="E15" s="1"/>
      <c r="F15" s="5">
        <v>0.26</v>
      </c>
    </row>
    <row r="16" spans="2:6" ht="24.75" x14ac:dyDescent="0.25">
      <c r="B16" s="5" t="s">
        <v>15</v>
      </c>
      <c r="C16" s="1"/>
      <c r="D16" s="1"/>
      <c r="E16" s="1"/>
      <c r="F16" s="5">
        <v>0.27</v>
      </c>
    </row>
    <row r="17" spans="2:6" ht="24.75" x14ac:dyDescent="0.25">
      <c r="B17" s="5" t="s">
        <v>16</v>
      </c>
      <c r="C17" s="1"/>
      <c r="D17" s="1"/>
      <c r="E17" s="1"/>
      <c r="F17" s="5">
        <v>0.28999999999999998</v>
      </c>
    </row>
    <row r="18" spans="2:6" x14ac:dyDescent="0.25">
      <c r="B18" s="5" t="s">
        <v>17</v>
      </c>
      <c r="C18" s="1"/>
      <c r="D18" s="1"/>
      <c r="E18" s="1"/>
      <c r="F18" s="5">
        <v>0.32</v>
      </c>
    </row>
    <row r="19" spans="2:6" x14ac:dyDescent="0.25">
      <c r="B19" s="5" t="s">
        <v>18</v>
      </c>
      <c r="C19" s="1"/>
      <c r="D19" s="1"/>
      <c r="E19" s="1"/>
      <c r="F19" s="5">
        <v>1.97</v>
      </c>
    </row>
    <row r="20" spans="2:6" x14ac:dyDescent="0.25">
      <c r="B20" s="5" t="s">
        <v>19</v>
      </c>
      <c r="C20" s="1"/>
      <c r="D20" s="1"/>
      <c r="E20" s="1"/>
      <c r="F20" s="5">
        <v>3.95</v>
      </c>
    </row>
    <row r="21" spans="2:6" x14ac:dyDescent="0.25">
      <c r="B21" s="10" t="s">
        <v>20</v>
      </c>
      <c r="C21" s="1"/>
      <c r="D21" s="1"/>
      <c r="E21" s="1"/>
      <c r="F21" s="4">
        <f>SUM(F9:F20)</f>
        <v>16.93</v>
      </c>
    </row>
    <row r="22" spans="2:6" x14ac:dyDescent="0.25">
      <c r="B22" s="3" t="s">
        <v>21</v>
      </c>
      <c r="C22" s="1"/>
      <c r="D22" s="1"/>
      <c r="E22" s="1"/>
      <c r="F22" s="1"/>
    </row>
    <row r="23" spans="2:6" x14ac:dyDescent="0.25">
      <c r="B23" s="1" t="s">
        <v>384</v>
      </c>
      <c r="C23" s="1" t="s">
        <v>26</v>
      </c>
      <c r="D23" s="1">
        <v>8</v>
      </c>
      <c r="E23" s="1">
        <v>2.4</v>
      </c>
      <c r="F23" s="24">
        <f>E23/580*1000/12</f>
        <v>0.34482758620689657</v>
      </c>
    </row>
    <row r="24" spans="2:6" x14ac:dyDescent="0.25">
      <c r="B24" s="1" t="s">
        <v>326</v>
      </c>
      <c r="C24" s="1" t="s">
        <v>26</v>
      </c>
      <c r="D24" s="1">
        <v>20</v>
      </c>
      <c r="E24" s="1">
        <v>30</v>
      </c>
      <c r="F24" s="24">
        <f t="shared" ref="F24:F38" si="0">E24/580*1000/12</f>
        <v>4.3103448275862073</v>
      </c>
    </row>
    <row r="25" spans="2:6" x14ac:dyDescent="0.25">
      <c r="B25" s="1" t="s">
        <v>327</v>
      </c>
      <c r="C25" s="1" t="s">
        <v>26</v>
      </c>
      <c r="D25" s="1">
        <v>56</v>
      </c>
      <c r="E25" s="1">
        <v>48</v>
      </c>
      <c r="F25" s="24">
        <f t="shared" si="0"/>
        <v>6.8965517241379315</v>
      </c>
    </row>
    <row r="26" spans="2:6" x14ac:dyDescent="0.25">
      <c r="B26" s="1" t="s">
        <v>334</v>
      </c>
      <c r="C26" s="1" t="s">
        <v>265</v>
      </c>
      <c r="D26" s="1">
        <v>1</v>
      </c>
      <c r="E26" s="1">
        <v>10</v>
      </c>
      <c r="F26" s="24">
        <f t="shared" si="0"/>
        <v>1.4367816091954022</v>
      </c>
    </row>
    <row r="27" spans="2:6" x14ac:dyDescent="0.25">
      <c r="B27" s="1" t="s">
        <v>364</v>
      </c>
      <c r="C27" s="1" t="s">
        <v>256</v>
      </c>
      <c r="D27" s="1">
        <v>2</v>
      </c>
      <c r="E27" s="1">
        <v>100</v>
      </c>
      <c r="F27" s="24">
        <f t="shared" si="0"/>
        <v>14.367816091954024</v>
      </c>
    </row>
    <row r="28" spans="2:6" x14ac:dyDescent="0.25">
      <c r="B28" s="1" t="s">
        <v>275</v>
      </c>
      <c r="C28" s="1" t="s">
        <v>26</v>
      </c>
      <c r="D28" s="1">
        <v>83</v>
      </c>
      <c r="E28" s="1">
        <v>124.5</v>
      </c>
      <c r="F28" s="24">
        <f t="shared" si="0"/>
        <v>17.887931034482758</v>
      </c>
    </row>
    <row r="29" spans="2:6" x14ac:dyDescent="0.25">
      <c r="B29" s="1" t="s">
        <v>387</v>
      </c>
      <c r="C29" s="1" t="s">
        <v>26</v>
      </c>
      <c r="D29" s="1">
        <v>690</v>
      </c>
      <c r="E29" s="1">
        <v>536</v>
      </c>
      <c r="F29" s="24">
        <f t="shared" si="0"/>
        <v>77.011494252873561</v>
      </c>
    </row>
    <row r="30" spans="2:6" x14ac:dyDescent="0.25">
      <c r="B30" s="1" t="s">
        <v>329</v>
      </c>
      <c r="C30" s="1" t="s">
        <v>26</v>
      </c>
      <c r="D30" s="1">
        <v>492</v>
      </c>
      <c r="E30" s="1">
        <v>592.79999999999995</v>
      </c>
      <c r="F30" s="24">
        <f t="shared" si="0"/>
        <v>85.172413793103445</v>
      </c>
    </row>
    <row r="31" spans="2:6" x14ac:dyDescent="0.25">
      <c r="B31" s="1" t="s">
        <v>330</v>
      </c>
      <c r="C31" s="1" t="s">
        <v>261</v>
      </c>
      <c r="D31" s="1">
        <v>40</v>
      </c>
      <c r="E31" s="1">
        <v>52</v>
      </c>
      <c r="F31" s="24">
        <f t="shared" si="0"/>
        <v>7.471264367816091</v>
      </c>
    </row>
    <row r="32" spans="2:6" x14ac:dyDescent="0.25">
      <c r="B32" s="1" t="s">
        <v>319</v>
      </c>
      <c r="C32" s="1" t="s">
        <v>261</v>
      </c>
      <c r="D32" s="1">
        <v>4</v>
      </c>
      <c r="E32" s="1">
        <v>5.2</v>
      </c>
      <c r="F32" s="24">
        <f t="shared" si="0"/>
        <v>0.74712643678160917</v>
      </c>
    </row>
    <row r="33" spans="2:6" x14ac:dyDescent="0.25">
      <c r="B33" s="1" t="s">
        <v>320</v>
      </c>
      <c r="C33" s="1" t="s">
        <v>261</v>
      </c>
      <c r="D33" s="1">
        <v>45</v>
      </c>
      <c r="E33" s="1">
        <v>85.5</v>
      </c>
      <c r="F33" s="24">
        <f t="shared" si="0"/>
        <v>12.284482758620689</v>
      </c>
    </row>
    <row r="34" spans="2:6" x14ac:dyDescent="0.25">
      <c r="B34" s="1" t="s">
        <v>325</v>
      </c>
      <c r="C34" s="1" t="s">
        <v>261</v>
      </c>
      <c r="D34" s="1">
        <v>20</v>
      </c>
      <c r="E34" s="1">
        <v>38</v>
      </c>
      <c r="F34" s="24">
        <f t="shared" si="0"/>
        <v>5.4597701149425291</v>
      </c>
    </row>
    <row r="35" spans="2:6" x14ac:dyDescent="0.25">
      <c r="B35" s="1" t="s">
        <v>339</v>
      </c>
      <c r="C35" s="1" t="s">
        <v>26</v>
      </c>
      <c r="D35" s="1">
        <v>6</v>
      </c>
      <c r="E35" s="1">
        <v>15</v>
      </c>
      <c r="F35" s="24">
        <f t="shared" si="0"/>
        <v>2.1551724137931036</v>
      </c>
    </row>
    <row r="36" spans="2:6" x14ac:dyDescent="0.25">
      <c r="B36" s="1" t="s">
        <v>322</v>
      </c>
      <c r="C36" s="1" t="s">
        <v>261</v>
      </c>
      <c r="D36" s="1">
        <v>120</v>
      </c>
      <c r="E36" s="1">
        <v>144</v>
      </c>
      <c r="F36" s="24">
        <f t="shared" si="0"/>
        <v>20.689655172413794</v>
      </c>
    </row>
    <row r="37" spans="2:6" x14ac:dyDescent="0.25">
      <c r="B37" s="1" t="s">
        <v>323</v>
      </c>
      <c r="C37" s="1" t="s">
        <v>261</v>
      </c>
      <c r="D37" s="1">
        <v>160</v>
      </c>
      <c r="E37" s="1">
        <v>160</v>
      </c>
      <c r="F37" s="24">
        <f t="shared" si="0"/>
        <v>22.988505747126435</v>
      </c>
    </row>
    <row r="38" spans="2:6" x14ac:dyDescent="0.25">
      <c r="B38" s="1" t="s">
        <v>386</v>
      </c>
      <c r="C38" s="1" t="s">
        <v>265</v>
      </c>
      <c r="D38" s="1">
        <v>1</v>
      </c>
      <c r="E38" s="1">
        <v>17</v>
      </c>
      <c r="F38" s="24">
        <f t="shared" si="0"/>
        <v>2.4425287356321839</v>
      </c>
    </row>
    <row r="39" spans="2:6" x14ac:dyDescent="0.25">
      <c r="B39" s="10" t="s">
        <v>20</v>
      </c>
      <c r="C39" s="1"/>
      <c r="D39" s="1"/>
      <c r="E39" s="4"/>
      <c r="F39" s="22">
        <f>SUM(F23:F35)</f>
        <v>235.54597701149427</v>
      </c>
    </row>
    <row r="40" spans="2:6" x14ac:dyDescent="0.25">
      <c r="B40" s="4" t="s">
        <v>22</v>
      </c>
      <c r="C40" s="6"/>
      <c r="D40" s="6"/>
      <c r="E40" s="6"/>
      <c r="F40" s="23">
        <f>F21+F39</f>
        <v>252.47597701149428</v>
      </c>
    </row>
    <row r="41" spans="2:6" x14ac:dyDescent="0.25">
      <c r="B41" s="7"/>
      <c r="C41" s="7"/>
      <c r="D41" s="7"/>
      <c r="E41" s="7"/>
      <c r="F41" s="7"/>
    </row>
    <row r="42" spans="2:6" x14ac:dyDescent="0.25">
      <c r="B42" s="13"/>
      <c r="C42" s="13"/>
      <c r="D42" s="13"/>
      <c r="E42" s="13"/>
      <c r="F42" s="13"/>
    </row>
    <row r="43" spans="2:6" x14ac:dyDescent="0.25">
      <c r="B43" s="13"/>
      <c r="C43" s="13"/>
      <c r="D43" s="13"/>
      <c r="E43" s="13"/>
      <c r="F43" s="13"/>
    </row>
    <row r="44" spans="2:6" x14ac:dyDescent="0.25">
      <c r="B44" s="39" t="s">
        <v>23</v>
      </c>
      <c r="C44" s="38"/>
      <c r="D44" s="38"/>
      <c r="E44" s="39" t="s">
        <v>24</v>
      </c>
      <c r="F44" s="38"/>
    </row>
    <row r="46" spans="2:6" ht="42.6" customHeight="1" x14ac:dyDescent="0.25">
      <c r="B46" s="37" t="s">
        <v>69</v>
      </c>
      <c r="C46" s="37"/>
      <c r="D46" s="37"/>
      <c r="E46" s="37"/>
      <c r="F46" s="37"/>
    </row>
    <row r="47" spans="2:6" ht="30" customHeight="1" x14ac:dyDescent="0.25">
      <c r="B47" s="37" t="s">
        <v>1</v>
      </c>
      <c r="C47" s="37"/>
      <c r="D47" s="37"/>
      <c r="E47" s="37"/>
      <c r="F47" s="37"/>
    </row>
    <row r="48" spans="2:6" x14ac:dyDescent="0.25">
      <c r="B48" s="14" t="s">
        <v>0</v>
      </c>
      <c r="C48" s="14"/>
      <c r="D48" s="14"/>
      <c r="E48" s="14"/>
      <c r="F48" s="14"/>
    </row>
    <row r="49" spans="2:6" x14ac:dyDescent="0.25">
      <c r="B49" s="12"/>
      <c r="C49" s="38" t="s">
        <v>25</v>
      </c>
      <c r="D49" s="38"/>
      <c r="E49" s="12">
        <v>579.29999999999995</v>
      </c>
      <c r="F49" s="12" t="s">
        <v>26</v>
      </c>
    </row>
    <row r="51" spans="2:6" ht="60" x14ac:dyDescent="0.25">
      <c r="B51" s="1" t="s">
        <v>2</v>
      </c>
      <c r="C51" s="1" t="s">
        <v>4</v>
      </c>
      <c r="D51" s="1" t="s">
        <v>3</v>
      </c>
      <c r="E51" s="1" t="s">
        <v>447</v>
      </c>
      <c r="F51" s="1" t="s">
        <v>5</v>
      </c>
    </row>
    <row r="52" spans="2:6" x14ac:dyDescent="0.25">
      <c r="B52" s="1"/>
      <c r="C52" s="1"/>
      <c r="D52" s="1"/>
      <c r="E52" s="1"/>
      <c r="F52" s="1"/>
    </row>
    <row r="53" spans="2:6" x14ac:dyDescent="0.25">
      <c r="B53" s="3" t="s">
        <v>6</v>
      </c>
      <c r="C53" s="1"/>
      <c r="D53" s="1"/>
      <c r="E53" s="1"/>
      <c r="F53" s="1"/>
    </row>
    <row r="54" spans="2:6" x14ac:dyDescent="0.25">
      <c r="B54" s="5" t="s">
        <v>7</v>
      </c>
      <c r="C54" s="1"/>
      <c r="D54" s="1"/>
      <c r="E54" s="1"/>
      <c r="F54" s="5">
        <v>2.0099999999999998</v>
      </c>
    </row>
    <row r="55" spans="2:6" x14ac:dyDescent="0.25">
      <c r="B55" s="5" t="s">
        <v>8</v>
      </c>
      <c r="C55" s="1"/>
      <c r="D55" s="1"/>
      <c r="E55" s="1"/>
      <c r="F55" s="5">
        <v>5.34</v>
      </c>
    </row>
    <row r="56" spans="2:6" ht="24.75" x14ac:dyDescent="0.25">
      <c r="B56" s="5" t="s">
        <v>11</v>
      </c>
      <c r="C56" s="1"/>
      <c r="D56" s="1"/>
      <c r="E56" s="1"/>
      <c r="F56" s="5">
        <v>0.55000000000000004</v>
      </c>
    </row>
    <row r="57" spans="2:6" ht="24.75" x14ac:dyDescent="0.25">
      <c r="B57" s="5" t="s">
        <v>12</v>
      </c>
      <c r="C57" s="1"/>
      <c r="D57" s="1"/>
      <c r="E57" s="1"/>
      <c r="F57" s="5">
        <v>0.53</v>
      </c>
    </row>
    <row r="58" spans="2:6" ht="24.75" x14ac:dyDescent="0.25">
      <c r="B58" s="5" t="s">
        <v>13</v>
      </c>
      <c r="C58" s="1"/>
      <c r="D58" s="1"/>
      <c r="E58" s="1"/>
      <c r="F58" s="5">
        <v>0.19</v>
      </c>
    </row>
    <row r="59" spans="2:6" ht="24.75" x14ac:dyDescent="0.25">
      <c r="B59" s="5" t="s">
        <v>14</v>
      </c>
      <c r="C59" s="1"/>
      <c r="D59" s="1"/>
      <c r="E59" s="1"/>
      <c r="F59" s="5">
        <v>1.25</v>
      </c>
    </row>
    <row r="60" spans="2:6" ht="24.75" x14ac:dyDescent="0.25">
      <c r="B60" s="5" t="s">
        <v>9</v>
      </c>
      <c r="C60" s="1"/>
      <c r="D60" s="1"/>
      <c r="E60" s="1"/>
      <c r="F60" s="5">
        <v>0.26</v>
      </c>
    </row>
    <row r="61" spans="2:6" ht="24.75" x14ac:dyDescent="0.25">
      <c r="B61" s="5" t="s">
        <v>15</v>
      </c>
      <c r="C61" s="1"/>
      <c r="D61" s="1"/>
      <c r="E61" s="1"/>
      <c r="F61" s="5">
        <v>0.27</v>
      </c>
    </row>
    <row r="62" spans="2:6" ht="24.75" x14ac:dyDescent="0.25">
      <c r="B62" s="5" t="s">
        <v>16</v>
      </c>
      <c r="C62" s="1"/>
      <c r="D62" s="1"/>
      <c r="E62" s="1"/>
      <c r="F62" s="5">
        <v>0.28999999999999998</v>
      </c>
    </row>
    <row r="63" spans="2:6" x14ac:dyDescent="0.25">
      <c r="B63" s="5" t="s">
        <v>17</v>
      </c>
      <c r="C63" s="1"/>
      <c r="D63" s="1"/>
      <c r="E63" s="1"/>
      <c r="F63" s="5">
        <v>0.32</v>
      </c>
    </row>
    <row r="64" spans="2:6" x14ac:dyDescent="0.25">
      <c r="B64" s="5" t="s">
        <v>18</v>
      </c>
      <c r="C64" s="1"/>
      <c r="D64" s="1"/>
      <c r="E64" s="1"/>
      <c r="F64" s="5">
        <v>1.97</v>
      </c>
    </row>
    <row r="65" spans="2:6" x14ac:dyDescent="0.25">
      <c r="B65" s="5" t="s">
        <v>19</v>
      </c>
      <c r="C65" s="1"/>
      <c r="D65" s="1"/>
      <c r="E65" s="1"/>
      <c r="F65" s="5">
        <v>3.95</v>
      </c>
    </row>
    <row r="66" spans="2:6" x14ac:dyDescent="0.25">
      <c r="B66" s="10" t="s">
        <v>20</v>
      </c>
      <c r="C66" s="1"/>
      <c r="D66" s="1"/>
      <c r="E66" s="1"/>
      <c r="F66" s="4">
        <f>SUM(F54:F65)</f>
        <v>16.93</v>
      </c>
    </row>
    <row r="67" spans="2:6" x14ac:dyDescent="0.25">
      <c r="B67" s="3" t="s">
        <v>21</v>
      </c>
      <c r="C67" s="1"/>
      <c r="D67" s="1"/>
      <c r="E67" s="1"/>
      <c r="F67" s="1"/>
    </row>
    <row r="68" spans="2:6" x14ac:dyDescent="0.25">
      <c r="B68" s="1" t="s">
        <v>317</v>
      </c>
      <c r="C68" s="1" t="s">
        <v>256</v>
      </c>
      <c r="D68" s="1">
        <v>2</v>
      </c>
      <c r="E68" s="1">
        <v>90</v>
      </c>
      <c r="F68" s="24">
        <f>E68/579.3*1000/12</f>
        <v>12.946659761781461</v>
      </c>
    </row>
    <row r="69" spans="2:6" x14ac:dyDescent="0.25">
      <c r="B69" s="1" t="s">
        <v>326</v>
      </c>
      <c r="C69" s="1" t="s">
        <v>26</v>
      </c>
      <c r="D69" s="1">
        <v>20</v>
      </c>
      <c r="E69" s="1">
        <v>30</v>
      </c>
      <c r="F69" s="24">
        <f t="shared" ref="F69:F82" si="1">E69/579.3*1000/12</f>
        <v>4.3155532539271535</v>
      </c>
    </row>
    <row r="70" spans="2:6" x14ac:dyDescent="0.25">
      <c r="B70" s="1" t="s">
        <v>327</v>
      </c>
      <c r="C70" s="1" t="s">
        <v>261</v>
      </c>
      <c r="D70" s="1">
        <v>52</v>
      </c>
      <c r="E70" s="1">
        <v>44.2</v>
      </c>
      <c r="F70" s="24">
        <f t="shared" si="1"/>
        <v>6.3582484607860073</v>
      </c>
    </row>
    <row r="71" spans="2:6" x14ac:dyDescent="0.25">
      <c r="B71" s="1" t="s">
        <v>388</v>
      </c>
      <c r="C71" s="1" t="s">
        <v>265</v>
      </c>
      <c r="D71" s="1">
        <v>1</v>
      </c>
      <c r="E71" s="1">
        <v>10</v>
      </c>
      <c r="F71" s="24">
        <f t="shared" si="1"/>
        <v>1.4385177513090515</v>
      </c>
    </row>
    <row r="72" spans="2:6" x14ac:dyDescent="0.25">
      <c r="B72" s="1" t="s">
        <v>275</v>
      </c>
      <c r="C72" s="1" t="s">
        <v>26</v>
      </c>
      <c r="D72" s="1">
        <v>82</v>
      </c>
      <c r="E72" s="1">
        <v>123</v>
      </c>
      <c r="F72" s="24">
        <f t="shared" si="1"/>
        <v>17.693768341101329</v>
      </c>
    </row>
    <row r="73" spans="2:6" x14ac:dyDescent="0.25">
      <c r="B73" s="1" t="s">
        <v>335</v>
      </c>
      <c r="C73" s="1" t="s">
        <v>26</v>
      </c>
      <c r="D73" s="1">
        <v>430</v>
      </c>
      <c r="E73" s="1">
        <v>344</v>
      </c>
      <c r="F73" s="24">
        <f t="shared" si="1"/>
        <v>49.485010645031366</v>
      </c>
    </row>
    <row r="74" spans="2:6" x14ac:dyDescent="0.25">
      <c r="B74" s="1" t="s">
        <v>329</v>
      </c>
      <c r="C74" s="1" t="s">
        <v>26</v>
      </c>
      <c r="D74" s="1">
        <v>490</v>
      </c>
      <c r="E74" s="1">
        <v>588</v>
      </c>
      <c r="F74" s="24">
        <f t="shared" si="1"/>
        <v>84.584843776972207</v>
      </c>
    </row>
    <row r="75" spans="2:6" x14ac:dyDescent="0.25">
      <c r="B75" s="1" t="s">
        <v>330</v>
      </c>
      <c r="C75" s="1" t="s">
        <v>261</v>
      </c>
      <c r="D75" s="1">
        <v>18</v>
      </c>
      <c r="E75" s="1">
        <v>23.4</v>
      </c>
      <c r="F75" s="24">
        <f t="shared" si="1"/>
        <v>3.3661315380631796</v>
      </c>
    </row>
    <row r="76" spans="2:6" x14ac:dyDescent="0.25">
      <c r="B76" s="1" t="s">
        <v>319</v>
      </c>
      <c r="C76" s="1" t="s">
        <v>261</v>
      </c>
      <c r="D76" s="1">
        <v>4</v>
      </c>
      <c r="E76" s="1">
        <v>5.2</v>
      </c>
      <c r="F76" s="24">
        <f t="shared" si="1"/>
        <v>0.7480292306807067</v>
      </c>
    </row>
    <row r="77" spans="2:6" x14ac:dyDescent="0.25">
      <c r="B77" s="1" t="s">
        <v>320</v>
      </c>
      <c r="C77" s="1" t="s">
        <v>261</v>
      </c>
      <c r="D77" s="1">
        <v>2</v>
      </c>
      <c r="E77" s="1">
        <v>45.6</v>
      </c>
      <c r="F77" s="24">
        <f t="shared" si="1"/>
        <v>6.5596409459692735</v>
      </c>
    </row>
    <row r="78" spans="2:6" x14ac:dyDescent="0.25">
      <c r="B78" s="1" t="s">
        <v>325</v>
      </c>
      <c r="C78" s="1" t="s">
        <v>261</v>
      </c>
      <c r="D78" s="1">
        <v>24</v>
      </c>
      <c r="E78" s="1">
        <v>38</v>
      </c>
      <c r="F78" s="24">
        <f t="shared" si="1"/>
        <v>5.466367454974395</v>
      </c>
    </row>
    <row r="79" spans="2:6" x14ac:dyDescent="0.25">
      <c r="B79" s="1" t="s">
        <v>389</v>
      </c>
      <c r="C79" s="1" t="s">
        <v>261</v>
      </c>
      <c r="D79" s="1">
        <v>120</v>
      </c>
      <c r="E79" s="1">
        <v>144</v>
      </c>
      <c r="F79" s="24">
        <f t="shared" si="1"/>
        <v>20.714655618850337</v>
      </c>
    </row>
    <row r="80" spans="2:6" x14ac:dyDescent="0.25">
      <c r="B80" s="1" t="s">
        <v>323</v>
      </c>
      <c r="C80" s="1" t="s">
        <v>261</v>
      </c>
      <c r="D80" s="1">
        <v>160</v>
      </c>
      <c r="E80" s="1">
        <v>160</v>
      </c>
      <c r="F80" s="24">
        <f t="shared" si="1"/>
        <v>23.016284020944823</v>
      </c>
    </row>
    <row r="81" spans="2:6" x14ac:dyDescent="0.25">
      <c r="B81" s="1" t="s">
        <v>362</v>
      </c>
      <c r="C81" s="1" t="s">
        <v>26</v>
      </c>
      <c r="D81" s="1">
        <v>6</v>
      </c>
      <c r="E81" s="1">
        <v>15</v>
      </c>
      <c r="F81" s="24">
        <f t="shared" si="1"/>
        <v>2.1577766269635767</v>
      </c>
    </row>
    <row r="82" spans="2:6" x14ac:dyDescent="0.25">
      <c r="B82" s="1"/>
      <c r="C82" s="1"/>
      <c r="D82" s="1"/>
      <c r="E82" s="1"/>
      <c r="F82" s="24">
        <f t="shared" si="1"/>
        <v>0</v>
      </c>
    </row>
    <row r="83" spans="2:6" x14ac:dyDescent="0.25">
      <c r="B83" s="10" t="s">
        <v>20</v>
      </c>
      <c r="C83" s="1"/>
      <c r="D83" s="1"/>
      <c r="E83" s="4">
        <f>SUM(E68:E82)</f>
        <v>1660.4</v>
      </c>
      <c r="F83" s="22">
        <f>SUM(F68:F82)</f>
        <v>238.8514874273549</v>
      </c>
    </row>
    <row r="84" spans="2:6" x14ac:dyDescent="0.25">
      <c r="B84" s="4" t="s">
        <v>22</v>
      </c>
      <c r="C84" s="6"/>
      <c r="D84" s="6"/>
      <c r="E84" s="6"/>
      <c r="F84" s="23">
        <f>F66+F83</f>
        <v>255.7814874273549</v>
      </c>
    </row>
    <row r="85" spans="2:6" x14ac:dyDescent="0.25">
      <c r="B85" s="7"/>
      <c r="C85" s="7"/>
      <c r="D85" s="7"/>
      <c r="E85" s="7"/>
      <c r="F85" s="7"/>
    </row>
    <row r="86" spans="2:6" x14ac:dyDescent="0.25">
      <c r="B86" s="13"/>
      <c r="C86" s="13"/>
      <c r="D86" s="13"/>
      <c r="E86" s="13"/>
      <c r="F86" s="13"/>
    </row>
    <row r="87" spans="2:6" x14ac:dyDescent="0.25">
      <c r="B87" s="13"/>
      <c r="C87" s="13"/>
      <c r="D87" s="13"/>
      <c r="E87" s="13"/>
      <c r="F87" s="13"/>
    </row>
    <row r="88" spans="2:6" x14ac:dyDescent="0.25">
      <c r="B88" s="39" t="s">
        <v>23</v>
      </c>
      <c r="C88" s="38"/>
      <c r="D88" s="38"/>
      <c r="E88" s="39" t="s">
        <v>24</v>
      </c>
      <c r="F88" s="38"/>
    </row>
    <row r="90" spans="2:6" ht="30.6" customHeight="1" x14ac:dyDescent="0.25">
      <c r="B90" s="37" t="s">
        <v>70</v>
      </c>
      <c r="C90" s="37"/>
      <c r="D90" s="37"/>
      <c r="E90" s="37"/>
      <c r="F90" s="37"/>
    </row>
    <row r="91" spans="2:6" ht="32.450000000000003" customHeight="1" x14ac:dyDescent="0.25">
      <c r="B91" s="37" t="s">
        <v>1</v>
      </c>
      <c r="C91" s="37"/>
      <c r="D91" s="37"/>
      <c r="E91" s="37"/>
      <c r="F91" s="37"/>
    </row>
    <row r="92" spans="2:6" x14ac:dyDescent="0.25">
      <c r="B92" s="14" t="s">
        <v>0</v>
      </c>
      <c r="C92" s="14"/>
      <c r="D92" s="14"/>
      <c r="E92" s="14"/>
      <c r="F92" s="14"/>
    </row>
    <row r="93" spans="2:6" x14ac:dyDescent="0.25">
      <c r="B93" s="12"/>
      <c r="C93" s="38" t="s">
        <v>25</v>
      </c>
      <c r="D93" s="38"/>
      <c r="E93" s="12">
        <v>389.8</v>
      </c>
      <c r="F93" s="12" t="s">
        <v>26</v>
      </c>
    </row>
    <row r="95" spans="2:6" ht="60" x14ac:dyDescent="0.25">
      <c r="B95" s="1" t="s">
        <v>2</v>
      </c>
      <c r="C95" s="1" t="s">
        <v>4</v>
      </c>
      <c r="D95" s="1" t="s">
        <v>3</v>
      </c>
      <c r="E95" s="1" t="s">
        <v>447</v>
      </c>
      <c r="F95" s="1" t="s">
        <v>5</v>
      </c>
    </row>
    <row r="96" spans="2:6" x14ac:dyDescent="0.25">
      <c r="B96" s="1"/>
      <c r="C96" s="1"/>
      <c r="D96" s="1"/>
      <c r="E96" s="1"/>
      <c r="F96" s="1"/>
    </row>
    <row r="97" spans="2:6" x14ac:dyDescent="0.25">
      <c r="B97" s="3" t="s">
        <v>6</v>
      </c>
      <c r="C97" s="1"/>
      <c r="D97" s="1"/>
      <c r="E97" s="1"/>
      <c r="F97" s="1"/>
    </row>
    <row r="98" spans="2:6" x14ac:dyDescent="0.25">
      <c r="B98" s="5" t="s">
        <v>7</v>
      </c>
      <c r="C98" s="1"/>
      <c r="D98" s="1"/>
      <c r="E98" s="1"/>
      <c r="F98" s="5">
        <v>2.0099999999999998</v>
      </c>
    </row>
    <row r="99" spans="2:6" x14ac:dyDescent="0.25">
      <c r="B99" s="5" t="s">
        <v>8</v>
      </c>
      <c r="C99" s="1"/>
      <c r="D99" s="1"/>
      <c r="E99" s="1"/>
      <c r="F99" s="5">
        <v>5.34</v>
      </c>
    </row>
    <row r="100" spans="2:6" ht="24.75" x14ac:dyDescent="0.25">
      <c r="B100" s="5" t="s">
        <v>11</v>
      </c>
      <c r="C100" s="1"/>
      <c r="D100" s="1"/>
      <c r="E100" s="1"/>
      <c r="F100" s="5">
        <v>0.55000000000000004</v>
      </c>
    </row>
    <row r="101" spans="2:6" ht="24.75" x14ac:dyDescent="0.25">
      <c r="B101" s="5" t="s">
        <v>12</v>
      </c>
      <c r="C101" s="1"/>
      <c r="D101" s="1"/>
      <c r="E101" s="1"/>
      <c r="F101" s="5">
        <v>0.53</v>
      </c>
    </row>
    <row r="102" spans="2:6" ht="24.75" x14ac:dyDescent="0.25">
      <c r="B102" s="5" t="s">
        <v>13</v>
      </c>
      <c r="C102" s="1"/>
      <c r="D102" s="1"/>
      <c r="E102" s="1"/>
      <c r="F102" s="5">
        <v>0.19</v>
      </c>
    </row>
    <row r="103" spans="2:6" ht="24.75" x14ac:dyDescent="0.25">
      <c r="B103" s="5" t="s">
        <v>14</v>
      </c>
      <c r="C103" s="1"/>
      <c r="D103" s="1"/>
      <c r="E103" s="1"/>
      <c r="F103" s="5">
        <v>1.25</v>
      </c>
    </row>
    <row r="104" spans="2:6" ht="24.75" x14ac:dyDescent="0.25">
      <c r="B104" s="5" t="s">
        <v>9</v>
      </c>
      <c r="C104" s="1"/>
      <c r="D104" s="1"/>
      <c r="E104" s="1"/>
      <c r="F104" s="5">
        <v>0.26</v>
      </c>
    </row>
    <row r="105" spans="2:6" ht="24.75" x14ac:dyDescent="0.25">
      <c r="B105" s="5" t="s">
        <v>15</v>
      </c>
      <c r="C105" s="1"/>
      <c r="D105" s="1"/>
      <c r="E105" s="1"/>
      <c r="F105" s="5">
        <v>0.27</v>
      </c>
    </row>
    <row r="106" spans="2:6" ht="24.75" x14ac:dyDescent="0.25">
      <c r="B106" s="5" t="s">
        <v>16</v>
      </c>
      <c r="C106" s="1"/>
      <c r="D106" s="1"/>
      <c r="E106" s="1"/>
      <c r="F106" s="5">
        <v>0.28999999999999998</v>
      </c>
    </row>
    <row r="107" spans="2:6" x14ac:dyDescent="0.25">
      <c r="B107" s="5" t="s">
        <v>17</v>
      </c>
      <c r="C107" s="1"/>
      <c r="D107" s="1"/>
      <c r="E107" s="1"/>
      <c r="F107" s="5">
        <v>0.32</v>
      </c>
    </row>
    <row r="108" spans="2:6" x14ac:dyDescent="0.25">
      <c r="B108" s="5" t="s">
        <v>18</v>
      </c>
      <c r="C108" s="1"/>
      <c r="D108" s="1"/>
      <c r="E108" s="1"/>
      <c r="F108" s="5">
        <v>1.97</v>
      </c>
    </row>
    <row r="109" spans="2:6" x14ac:dyDescent="0.25">
      <c r="B109" s="5" t="s">
        <v>19</v>
      </c>
      <c r="C109" s="1"/>
      <c r="D109" s="1"/>
      <c r="E109" s="1"/>
      <c r="F109" s="5">
        <v>3.95</v>
      </c>
    </row>
    <row r="110" spans="2:6" x14ac:dyDescent="0.25">
      <c r="B110" s="10" t="s">
        <v>20</v>
      </c>
      <c r="C110" s="1"/>
      <c r="D110" s="1"/>
      <c r="E110" s="1"/>
      <c r="F110" s="4">
        <f>SUM(F98:F109)</f>
        <v>16.93</v>
      </c>
    </row>
    <row r="111" spans="2:6" x14ac:dyDescent="0.25">
      <c r="B111" s="3" t="s">
        <v>21</v>
      </c>
      <c r="C111" s="1"/>
      <c r="D111" s="1"/>
      <c r="E111" s="1"/>
      <c r="F111" s="1"/>
    </row>
    <row r="112" spans="2:6" x14ac:dyDescent="0.25">
      <c r="B112" s="1" t="s">
        <v>384</v>
      </c>
      <c r="C112" s="1" t="s">
        <v>26</v>
      </c>
      <c r="D112" s="1">
        <v>8</v>
      </c>
      <c r="E112" s="1">
        <v>2.4</v>
      </c>
      <c r="F112" s="24">
        <f>E112/389.8*1000/12</f>
        <v>0.51308363263211898</v>
      </c>
    </row>
    <row r="113" spans="2:6" x14ac:dyDescent="0.25">
      <c r="B113" s="1" t="s">
        <v>326</v>
      </c>
      <c r="C113" s="1" t="s">
        <v>26</v>
      </c>
      <c r="D113" s="1">
        <v>30</v>
      </c>
      <c r="E113" s="1">
        <v>45</v>
      </c>
      <c r="F113" s="24">
        <f t="shared" ref="F113:F124" si="2">E113/389.8*1000/12</f>
        <v>9.6203181118522316</v>
      </c>
    </row>
    <row r="114" spans="2:6" x14ac:dyDescent="0.25">
      <c r="B114" s="1" t="s">
        <v>327</v>
      </c>
      <c r="C114" s="1" t="s">
        <v>261</v>
      </c>
      <c r="D114" s="1">
        <v>66</v>
      </c>
      <c r="E114" s="1">
        <v>56</v>
      </c>
      <c r="F114" s="24">
        <f t="shared" si="2"/>
        <v>11.971951428082777</v>
      </c>
    </row>
    <row r="115" spans="2:6" x14ac:dyDescent="0.25">
      <c r="B115" s="1" t="s">
        <v>334</v>
      </c>
      <c r="C115" s="1" t="s">
        <v>265</v>
      </c>
      <c r="D115" s="1">
        <v>1</v>
      </c>
      <c r="E115" s="1">
        <v>10</v>
      </c>
      <c r="F115" s="24">
        <f t="shared" si="2"/>
        <v>2.1378484693004958</v>
      </c>
    </row>
    <row r="116" spans="2:6" x14ac:dyDescent="0.25">
      <c r="B116" s="1" t="s">
        <v>275</v>
      </c>
      <c r="C116" s="1" t="s">
        <v>26</v>
      </c>
      <c r="D116" s="1">
        <v>81</v>
      </c>
      <c r="E116" s="1">
        <v>121.5</v>
      </c>
      <c r="F116" s="24">
        <f t="shared" si="2"/>
        <v>25.974858902001021</v>
      </c>
    </row>
    <row r="117" spans="2:6" x14ac:dyDescent="0.25">
      <c r="B117" s="1" t="s">
        <v>318</v>
      </c>
      <c r="C117" s="1" t="s">
        <v>26</v>
      </c>
      <c r="D117" s="1">
        <v>670</v>
      </c>
      <c r="E117" s="1">
        <v>536</v>
      </c>
      <c r="F117" s="24">
        <f t="shared" si="2"/>
        <v>114.58867795450658</v>
      </c>
    </row>
    <row r="118" spans="2:6" x14ac:dyDescent="0.25">
      <c r="B118" s="1" t="s">
        <v>390</v>
      </c>
      <c r="C118" s="1" t="s">
        <v>261</v>
      </c>
      <c r="D118" s="1">
        <v>40</v>
      </c>
      <c r="E118" s="1">
        <v>52</v>
      </c>
      <c r="F118" s="24">
        <f t="shared" si="2"/>
        <v>11.116812040362577</v>
      </c>
    </row>
    <row r="119" spans="2:6" x14ac:dyDescent="0.25">
      <c r="B119" s="1" t="s">
        <v>319</v>
      </c>
      <c r="C119" s="1" t="s">
        <v>261</v>
      </c>
      <c r="D119" s="1">
        <v>16</v>
      </c>
      <c r="E119" s="1">
        <v>20.8</v>
      </c>
      <c r="F119" s="24">
        <f t="shared" si="2"/>
        <v>4.4467248161450312</v>
      </c>
    </row>
    <row r="120" spans="2:6" x14ac:dyDescent="0.25">
      <c r="B120" s="1" t="s">
        <v>320</v>
      </c>
      <c r="C120" s="1" t="s">
        <v>261</v>
      </c>
      <c r="D120" s="1">
        <v>30</v>
      </c>
      <c r="E120" s="1">
        <v>57</v>
      </c>
      <c r="F120" s="24">
        <f t="shared" si="2"/>
        <v>12.185736275012827</v>
      </c>
    </row>
    <row r="121" spans="2:6" x14ac:dyDescent="0.25">
      <c r="B121" s="1" t="s">
        <v>325</v>
      </c>
      <c r="C121" s="1" t="s">
        <v>261</v>
      </c>
      <c r="D121" s="1">
        <v>20</v>
      </c>
      <c r="E121" s="1">
        <v>38</v>
      </c>
      <c r="F121" s="24">
        <f t="shared" si="2"/>
        <v>8.1238241833418847</v>
      </c>
    </row>
    <row r="122" spans="2:6" x14ac:dyDescent="0.25">
      <c r="B122" s="1" t="s">
        <v>339</v>
      </c>
      <c r="C122" s="1" t="s">
        <v>26</v>
      </c>
      <c r="D122" s="1">
        <v>6</v>
      </c>
      <c r="E122" s="1">
        <v>15</v>
      </c>
      <c r="F122" s="24">
        <f t="shared" si="2"/>
        <v>3.2067727039507439</v>
      </c>
    </row>
    <row r="123" spans="2:6" x14ac:dyDescent="0.25">
      <c r="B123" s="1" t="s">
        <v>322</v>
      </c>
      <c r="C123" s="1" t="s">
        <v>261</v>
      </c>
      <c r="D123" s="1">
        <v>120</v>
      </c>
      <c r="E123" s="1">
        <v>144</v>
      </c>
      <c r="F123" s="24">
        <f t="shared" si="2"/>
        <v>30.785017957927142</v>
      </c>
    </row>
    <row r="124" spans="2:6" x14ac:dyDescent="0.25">
      <c r="B124" s="1" t="s">
        <v>323</v>
      </c>
      <c r="C124" s="1" t="s">
        <v>261</v>
      </c>
      <c r="D124" s="1">
        <v>160</v>
      </c>
      <c r="E124" s="1">
        <v>160</v>
      </c>
      <c r="F124" s="24">
        <f t="shared" si="2"/>
        <v>34.205575508807932</v>
      </c>
    </row>
    <row r="125" spans="2:6" x14ac:dyDescent="0.25">
      <c r="B125" s="10" t="s">
        <v>20</v>
      </c>
      <c r="C125" s="1"/>
      <c r="D125" s="1"/>
      <c r="E125" s="4">
        <f>SUM(E112:E124)</f>
        <v>1257.6999999999998</v>
      </c>
      <c r="F125" s="22">
        <f>SUM(F112:F124)</f>
        <v>268.87720198392344</v>
      </c>
    </row>
    <row r="126" spans="2:6" x14ac:dyDescent="0.25">
      <c r="B126" s="4" t="s">
        <v>22</v>
      </c>
      <c r="C126" s="6"/>
      <c r="D126" s="6"/>
      <c r="E126" s="6"/>
      <c r="F126" s="23">
        <f>F110+F125</f>
        <v>285.80720198392345</v>
      </c>
    </row>
    <row r="127" spans="2:6" x14ac:dyDescent="0.25">
      <c r="B127" s="7"/>
      <c r="C127" s="7"/>
      <c r="D127" s="7"/>
      <c r="E127" s="7"/>
      <c r="F127" s="7"/>
    </row>
    <row r="128" spans="2:6" x14ac:dyDescent="0.25">
      <c r="B128" s="13"/>
      <c r="C128" s="13"/>
      <c r="D128" s="13"/>
      <c r="E128" s="13"/>
      <c r="F128" s="13"/>
    </row>
    <row r="129" spans="2:6" x14ac:dyDescent="0.25">
      <c r="B129" s="13"/>
      <c r="C129" s="13"/>
      <c r="D129" s="13"/>
      <c r="E129" s="13"/>
      <c r="F129" s="13"/>
    </row>
    <row r="130" spans="2:6" x14ac:dyDescent="0.25">
      <c r="B130" s="39" t="s">
        <v>23</v>
      </c>
      <c r="C130" s="38"/>
      <c r="D130" s="38"/>
      <c r="E130" s="39" t="s">
        <v>24</v>
      </c>
      <c r="F130" s="38"/>
    </row>
    <row r="132" spans="2:6" ht="31.15" customHeight="1" x14ac:dyDescent="0.25">
      <c r="B132" s="37" t="s">
        <v>71</v>
      </c>
      <c r="C132" s="37"/>
      <c r="D132" s="37"/>
      <c r="E132" s="37"/>
      <c r="F132" s="37"/>
    </row>
    <row r="133" spans="2:6" ht="31.15" customHeight="1" x14ac:dyDescent="0.25">
      <c r="B133" s="37" t="s">
        <v>1</v>
      </c>
      <c r="C133" s="37"/>
      <c r="D133" s="37"/>
      <c r="E133" s="37"/>
      <c r="F133" s="37"/>
    </row>
    <row r="134" spans="2:6" x14ac:dyDescent="0.25">
      <c r="B134" s="14" t="s">
        <v>0</v>
      </c>
      <c r="C134" s="14"/>
      <c r="D134" s="14"/>
      <c r="E134" s="14"/>
      <c r="F134" s="14"/>
    </row>
    <row r="135" spans="2:6" x14ac:dyDescent="0.25">
      <c r="B135" s="12"/>
      <c r="C135" s="38" t="s">
        <v>25</v>
      </c>
      <c r="D135" s="38"/>
      <c r="E135" s="12">
        <v>445.25</v>
      </c>
      <c r="F135" s="12" t="s">
        <v>26</v>
      </c>
    </row>
    <row r="137" spans="2:6" ht="60" x14ac:dyDescent="0.25">
      <c r="B137" s="1" t="s">
        <v>2</v>
      </c>
      <c r="C137" s="1" t="s">
        <v>4</v>
      </c>
      <c r="D137" s="1" t="s">
        <v>3</v>
      </c>
      <c r="E137" s="1" t="s">
        <v>447</v>
      </c>
      <c r="F137" s="1" t="s">
        <v>5</v>
      </c>
    </row>
    <row r="138" spans="2:6" x14ac:dyDescent="0.25">
      <c r="B138" s="1"/>
      <c r="C138" s="1"/>
      <c r="D138" s="1"/>
      <c r="E138" s="1"/>
      <c r="F138" s="1"/>
    </row>
    <row r="139" spans="2:6" x14ac:dyDescent="0.25">
      <c r="B139" s="3" t="s">
        <v>6</v>
      </c>
      <c r="C139" s="1"/>
      <c r="D139" s="1"/>
      <c r="E139" s="1"/>
      <c r="F139" s="1"/>
    </row>
    <row r="140" spans="2:6" x14ac:dyDescent="0.25">
      <c r="B140" s="5" t="s">
        <v>7</v>
      </c>
      <c r="C140" s="1"/>
      <c r="D140" s="1"/>
      <c r="E140" s="1"/>
      <c r="F140" s="5">
        <v>2.0099999999999998</v>
      </c>
    </row>
    <row r="141" spans="2:6" x14ac:dyDescent="0.25">
      <c r="B141" s="5" t="s">
        <v>8</v>
      </c>
      <c r="C141" s="1"/>
      <c r="D141" s="1"/>
      <c r="E141" s="1"/>
      <c r="F141" s="5">
        <v>5.34</v>
      </c>
    </row>
    <row r="142" spans="2:6" ht="24.75" x14ac:dyDescent="0.25">
      <c r="B142" s="5" t="s">
        <v>11</v>
      </c>
      <c r="C142" s="1"/>
      <c r="D142" s="1"/>
      <c r="E142" s="1"/>
      <c r="F142" s="5">
        <v>0.55000000000000004</v>
      </c>
    </row>
    <row r="143" spans="2:6" ht="24.75" x14ac:dyDescent="0.25">
      <c r="B143" s="5" t="s">
        <v>12</v>
      </c>
      <c r="C143" s="1"/>
      <c r="D143" s="1"/>
      <c r="E143" s="1"/>
      <c r="F143" s="5">
        <v>0.53</v>
      </c>
    </row>
    <row r="144" spans="2:6" ht="24.75" x14ac:dyDescent="0.25">
      <c r="B144" s="5" t="s">
        <v>13</v>
      </c>
      <c r="C144" s="1"/>
      <c r="D144" s="1"/>
      <c r="E144" s="1"/>
      <c r="F144" s="5">
        <v>0.19</v>
      </c>
    </row>
    <row r="145" spans="2:6" ht="24.75" x14ac:dyDescent="0.25">
      <c r="B145" s="5" t="s">
        <v>9</v>
      </c>
      <c r="C145" s="1"/>
      <c r="D145" s="1"/>
      <c r="E145" s="1"/>
      <c r="F145" s="5">
        <v>0.26</v>
      </c>
    </row>
    <row r="146" spans="2:6" ht="24.75" x14ac:dyDescent="0.25">
      <c r="B146" s="5" t="s">
        <v>15</v>
      </c>
      <c r="C146" s="1"/>
      <c r="D146" s="1"/>
      <c r="E146" s="1"/>
      <c r="F146" s="5">
        <v>0.27</v>
      </c>
    </row>
    <row r="147" spans="2:6" ht="24.75" x14ac:dyDescent="0.25">
      <c r="B147" s="5" t="s">
        <v>16</v>
      </c>
      <c r="C147" s="1"/>
      <c r="D147" s="1"/>
      <c r="E147" s="1"/>
      <c r="F147" s="5">
        <v>0.28999999999999998</v>
      </c>
    </row>
    <row r="148" spans="2:6" x14ac:dyDescent="0.25">
      <c r="B148" s="5" t="s">
        <v>17</v>
      </c>
      <c r="C148" s="1"/>
      <c r="D148" s="1"/>
      <c r="E148" s="1"/>
      <c r="F148" s="5">
        <v>0.32</v>
      </c>
    </row>
    <row r="149" spans="2:6" x14ac:dyDescent="0.25">
      <c r="B149" s="5" t="s">
        <v>18</v>
      </c>
      <c r="C149" s="1"/>
      <c r="D149" s="1"/>
      <c r="E149" s="1"/>
      <c r="F149" s="5">
        <v>1.97</v>
      </c>
    </row>
    <row r="150" spans="2:6" x14ac:dyDescent="0.25">
      <c r="B150" s="5" t="s">
        <v>19</v>
      </c>
      <c r="C150" s="1"/>
      <c r="D150" s="1"/>
      <c r="E150" s="1"/>
      <c r="F150" s="5">
        <v>3.95</v>
      </c>
    </row>
    <row r="151" spans="2:6" x14ac:dyDescent="0.25">
      <c r="B151" s="10" t="s">
        <v>20</v>
      </c>
      <c r="C151" s="1"/>
      <c r="D151" s="1"/>
      <c r="E151" s="1"/>
      <c r="F151" s="4">
        <f>SUM(F140:F150)</f>
        <v>15.68</v>
      </c>
    </row>
    <row r="152" spans="2:6" x14ac:dyDescent="0.25">
      <c r="B152" s="3" t="s">
        <v>21</v>
      </c>
      <c r="C152" s="1"/>
      <c r="D152" s="1"/>
      <c r="E152" s="1"/>
      <c r="F152" s="1"/>
    </row>
    <row r="153" spans="2:6" x14ac:dyDescent="0.25">
      <c r="B153" s="1" t="s">
        <v>317</v>
      </c>
      <c r="C153" s="1" t="s">
        <v>256</v>
      </c>
      <c r="D153" s="1">
        <v>2</v>
      </c>
      <c r="E153" s="1">
        <v>90</v>
      </c>
      <c r="F153" s="24">
        <f>E153/445.25*1000/12</f>
        <v>16.844469399213924</v>
      </c>
    </row>
    <row r="154" spans="2:6" x14ac:dyDescent="0.25">
      <c r="B154" s="1" t="s">
        <v>326</v>
      </c>
      <c r="C154" s="1" t="s">
        <v>26</v>
      </c>
      <c r="D154" s="1">
        <v>40</v>
      </c>
      <c r="E154" s="1">
        <v>60</v>
      </c>
      <c r="F154" s="24">
        <f t="shared" ref="F154:F165" si="3">E154/445.25*1000/12</f>
        <v>11.229646266142616</v>
      </c>
    </row>
    <row r="155" spans="2:6" x14ac:dyDescent="0.25">
      <c r="B155" s="1" t="s">
        <v>327</v>
      </c>
      <c r="C155" s="1" t="s">
        <v>261</v>
      </c>
      <c r="D155" s="1">
        <v>119</v>
      </c>
      <c r="E155" s="1">
        <v>178.5</v>
      </c>
      <c r="F155" s="24">
        <f t="shared" si="3"/>
        <v>33.408197641774287</v>
      </c>
    </row>
    <row r="156" spans="2:6" x14ac:dyDescent="0.25">
      <c r="B156" s="1" t="s">
        <v>275</v>
      </c>
      <c r="C156" s="1" t="s">
        <v>26</v>
      </c>
      <c r="D156" s="1">
        <v>53</v>
      </c>
      <c r="E156" s="1">
        <v>79.5</v>
      </c>
      <c r="F156" s="24">
        <f t="shared" si="3"/>
        <v>14.879281302638965</v>
      </c>
    </row>
    <row r="157" spans="2:6" x14ac:dyDescent="0.25">
      <c r="B157" s="1" t="s">
        <v>335</v>
      </c>
      <c r="C157" s="1" t="s">
        <v>26</v>
      </c>
      <c r="D157" s="1">
        <v>20</v>
      </c>
      <c r="E157" s="1">
        <v>14</v>
      </c>
      <c r="F157" s="24">
        <f t="shared" si="3"/>
        <v>2.620250795433277</v>
      </c>
    </row>
    <row r="158" spans="2:6" x14ac:dyDescent="0.25">
      <c r="B158" s="1" t="s">
        <v>329</v>
      </c>
      <c r="C158" s="1" t="s">
        <v>26</v>
      </c>
      <c r="D158" s="1">
        <v>340</v>
      </c>
      <c r="E158" s="1">
        <v>408</v>
      </c>
      <c r="F158" s="24">
        <f t="shared" si="3"/>
        <v>76.361594609769796</v>
      </c>
    </row>
    <row r="159" spans="2:6" x14ac:dyDescent="0.25">
      <c r="B159" s="1" t="s">
        <v>391</v>
      </c>
      <c r="C159" s="1" t="s">
        <v>261</v>
      </c>
      <c r="D159" s="1">
        <v>32</v>
      </c>
      <c r="E159" s="1">
        <v>41.6</v>
      </c>
      <c r="F159" s="24">
        <f t="shared" si="3"/>
        <v>7.7858880778588819</v>
      </c>
    </row>
    <row r="160" spans="2:6" x14ac:dyDescent="0.25">
      <c r="B160" s="1" t="s">
        <v>342</v>
      </c>
      <c r="C160" s="1" t="s">
        <v>26</v>
      </c>
      <c r="D160" s="1">
        <v>2</v>
      </c>
      <c r="E160" s="1">
        <v>5</v>
      </c>
      <c r="F160" s="24">
        <f t="shared" si="3"/>
        <v>0.93580385551188472</v>
      </c>
    </row>
    <row r="161" spans="2:6" x14ac:dyDescent="0.25">
      <c r="B161" s="1" t="s">
        <v>320</v>
      </c>
      <c r="C161" s="1" t="s">
        <v>261</v>
      </c>
      <c r="D161" s="1">
        <v>30</v>
      </c>
      <c r="E161" s="1">
        <v>57</v>
      </c>
      <c r="F161" s="24">
        <f t="shared" si="3"/>
        <v>10.668163952835485</v>
      </c>
    </row>
    <row r="162" spans="2:6" x14ac:dyDescent="0.25">
      <c r="B162" s="1" t="s">
        <v>325</v>
      </c>
      <c r="C162" s="1" t="s">
        <v>261</v>
      </c>
      <c r="D162" s="1">
        <v>25</v>
      </c>
      <c r="E162" s="1">
        <v>47.5</v>
      </c>
      <c r="F162" s="24">
        <f t="shared" si="3"/>
        <v>8.8901366273629048</v>
      </c>
    </row>
    <row r="163" spans="2:6" x14ac:dyDescent="0.25">
      <c r="B163" s="1" t="s">
        <v>321</v>
      </c>
      <c r="C163" s="1" t="s">
        <v>256</v>
      </c>
      <c r="D163" s="1">
        <v>2</v>
      </c>
      <c r="E163" s="1">
        <v>100</v>
      </c>
      <c r="F163" s="24">
        <f t="shared" si="3"/>
        <v>18.716077110237695</v>
      </c>
    </row>
    <row r="164" spans="2:6" x14ac:dyDescent="0.25">
      <c r="B164" s="1" t="s">
        <v>322</v>
      </c>
      <c r="C164" s="1" t="s">
        <v>261</v>
      </c>
      <c r="D164" s="1">
        <v>130</v>
      </c>
      <c r="E164" s="1">
        <v>156</v>
      </c>
      <c r="F164" s="24">
        <f t="shared" si="3"/>
        <v>29.197080291970806</v>
      </c>
    </row>
    <row r="165" spans="2:6" x14ac:dyDescent="0.25">
      <c r="B165" s="1" t="s">
        <v>323</v>
      </c>
      <c r="C165" s="1" t="s">
        <v>261</v>
      </c>
      <c r="D165" s="1">
        <v>140</v>
      </c>
      <c r="E165" s="1">
        <v>140</v>
      </c>
      <c r="F165" s="24">
        <f t="shared" si="3"/>
        <v>26.20250795433277</v>
      </c>
    </row>
    <row r="166" spans="2:6" x14ac:dyDescent="0.25">
      <c r="B166" s="10" t="s">
        <v>20</v>
      </c>
      <c r="C166" s="1"/>
      <c r="D166" s="1"/>
      <c r="E166" s="4">
        <f>SUM(E153:E165)</f>
        <v>1377.1</v>
      </c>
      <c r="F166" s="22">
        <f>SUM(F153:F165)</f>
        <v>257.73909788508331</v>
      </c>
    </row>
    <row r="167" spans="2:6" x14ac:dyDescent="0.25">
      <c r="B167" s="4" t="s">
        <v>22</v>
      </c>
      <c r="C167" s="6"/>
      <c r="D167" s="6"/>
      <c r="E167" s="6"/>
      <c r="F167" s="23">
        <f>F151+F166</f>
        <v>273.41909788508332</v>
      </c>
    </row>
    <row r="168" spans="2:6" x14ac:dyDescent="0.25">
      <c r="B168" s="7"/>
      <c r="C168" s="7"/>
      <c r="D168" s="7"/>
      <c r="E168" s="7"/>
      <c r="F168" s="7"/>
    </row>
    <row r="169" spans="2:6" x14ac:dyDescent="0.25">
      <c r="B169" s="13"/>
      <c r="C169" s="13"/>
      <c r="D169" s="13"/>
      <c r="E169" s="13"/>
      <c r="F169" s="13"/>
    </row>
    <row r="170" spans="2:6" x14ac:dyDescent="0.25">
      <c r="B170" s="13"/>
      <c r="C170" s="13"/>
      <c r="D170" s="13"/>
      <c r="E170" s="13"/>
      <c r="F170" s="13"/>
    </row>
    <row r="171" spans="2:6" ht="14.45" customHeight="1" x14ac:dyDescent="0.25">
      <c r="B171" s="39" t="s">
        <v>23</v>
      </c>
      <c r="C171" s="39"/>
      <c r="D171" s="39"/>
      <c r="E171" s="39" t="s">
        <v>24</v>
      </c>
      <c r="F171" s="39"/>
    </row>
    <row r="172" spans="2:6" ht="14.45" customHeight="1" x14ac:dyDescent="0.25"/>
    <row r="173" spans="2:6" ht="30" customHeight="1" x14ac:dyDescent="0.25">
      <c r="B173" s="37" t="s">
        <v>72</v>
      </c>
      <c r="C173" s="37"/>
      <c r="D173" s="37"/>
      <c r="E173" s="37"/>
      <c r="F173" s="37"/>
    </row>
    <row r="174" spans="2:6" ht="30.6" customHeight="1" x14ac:dyDescent="0.25">
      <c r="B174" s="37" t="s">
        <v>1</v>
      </c>
      <c r="C174" s="37"/>
      <c r="D174" s="37"/>
      <c r="E174" s="37"/>
      <c r="F174" s="37"/>
    </row>
    <row r="175" spans="2:6" x14ac:dyDescent="0.25">
      <c r="B175" s="14" t="s">
        <v>0</v>
      </c>
      <c r="C175" s="14"/>
      <c r="D175" s="14"/>
      <c r="E175" s="14"/>
      <c r="F175" s="14"/>
    </row>
    <row r="176" spans="2:6" x14ac:dyDescent="0.25">
      <c r="B176" s="12"/>
      <c r="C176" s="38" t="s">
        <v>25</v>
      </c>
      <c r="D176" s="38"/>
      <c r="E176" s="12">
        <v>491.3</v>
      </c>
      <c r="F176" s="12" t="s">
        <v>26</v>
      </c>
    </row>
    <row r="178" spans="2:6" ht="60" x14ac:dyDescent="0.25">
      <c r="B178" s="1" t="s">
        <v>2</v>
      </c>
      <c r="C178" s="1" t="s">
        <v>4</v>
      </c>
      <c r="D178" s="1" t="s">
        <v>3</v>
      </c>
      <c r="E178" s="1" t="s">
        <v>447</v>
      </c>
      <c r="F178" s="1" t="s">
        <v>5</v>
      </c>
    </row>
    <row r="179" spans="2:6" x14ac:dyDescent="0.25">
      <c r="B179" s="1"/>
      <c r="C179" s="1"/>
      <c r="D179" s="1"/>
      <c r="E179" s="1"/>
      <c r="F179" s="1"/>
    </row>
    <row r="180" spans="2:6" x14ac:dyDescent="0.25">
      <c r="B180" s="3" t="s">
        <v>6</v>
      </c>
      <c r="C180" s="1"/>
      <c r="D180" s="1"/>
      <c r="E180" s="1"/>
      <c r="F180" s="1"/>
    </row>
    <row r="181" spans="2:6" x14ac:dyDescent="0.25">
      <c r="B181" s="5" t="s">
        <v>7</v>
      </c>
      <c r="C181" s="1"/>
      <c r="D181" s="1"/>
      <c r="E181" s="1"/>
      <c r="F181" s="5">
        <v>2.0099999999999998</v>
      </c>
    </row>
    <row r="182" spans="2:6" x14ac:dyDescent="0.25">
      <c r="B182" s="5" t="s">
        <v>8</v>
      </c>
      <c r="C182" s="1"/>
      <c r="D182" s="1"/>
      <c r="E182" s="1"/>
      <c r="F182" s="5">
        <v>5.34</v>
      </c>
    </row>
    <row r="183" spans="2:6" ht="24.75" x14ac:dyDescent="0.25">
      <c r="B183" s="5" t="s">
        <v>11</v>
      </c>
      <c r="C183" s="1"/>
      <c r="D183" s="1"/>
      <c r="E183" s="1"/>
      <c r="F183" s="5">
        <v>0.55000000000000004</v>
      </c>
    </row>
    <row r="184" spans="2:6" ht="24.75" x14ac:dyDescent="0.25">
      <c r="B184" s="5" t="s">
        <v>12</v>
      </c>
      <c r="C184" s="1"/>
      <c r="D184" s="1"/>
      <c r="E184" s="1"/>
      <c r="F184" s="5">
        <v>0.53</v>
      </c>
    </row>
    <row r="185" spans="2:6" ht="24.75" x14ac:dyDescent="0.25">
      <c r="B185" s="5" t="s">
        <v>13</v>
      </c>
      <c r="C185" s="1"/>
      <c r="D185" s="1"/>
      <c r="E185" s="1"/>
      <c r="F185" s="5">
        <v>0.19</v>
      </c>
    </row>
    <row r="186" spans="2:6" ht="24.75" x14ac:dyDescent="0.25">
      <c r="B186" s="5" t="s">
        <v>9</v>
      </c>
      <c r="C186" s="1"/>
      <c r="D186" s="1"/>
      <c r="E186" s="1"/>
      <c r="F186" s="5">
        <v>0.26</v>
      </c>
    </row>
    <row r="187" spans="2:6" ht="24.75" x14ac:dyDescent="0.25">
      <c r="B187" s="5" t="s">
        <v>15</v>
      </c>
      <c r="C187" s="1"/>
      <c r="D187" s="1"/>
      <c r="E187" s="1"/>
      <c r="F187" s="5">
        <v>0.27</v>
      </c>
    </row>
    <row r="188" spans="2:6" ht="24.75" x14ac:dyDescent="0.25">
      <c r="B188" s="5" t="s">
        <v>16</v>
      </c>
      <c r="C188" s="1"/>
      <c r="D188" s="1"/>
      <c r="E188" s="1"/>
      <c r="F188" s="5">
        <v>0.28999999999999998</v>
      </c>
    </row>
    <row r="189" spans="2:6" x14ac:dyDescent="0.25">
      <c r="B189" s="5" t="s">
        <v>17</v>
      </c>
      <c r="C189" s="1"/>
      <c r="D189" s="1"/>
      <c r="E189" s="1"/>
      <c r="F189" s="5">
        <v>0.32</v>
      </c>
    </row>
    <row r="190" spans="2:6" x14ac:dyDescent="0.25">
      <c r="B190" s="5" t="s">
        <v>18</v>
      </c>
      <c r="C190" s="1"/>
      <c r="D190" s="1"/>
      <c r="E190" s="1"/>
      <c r="F190" s="5">
        <v>1.97</v>
      </c>
    </row>
    <row r="191" spans="2:6" x14ac:dyDescent="0.25">
      <c r="B191" s="5" t="s">
        <v>19</v>
      </c>
      <c r="C191" s="1"/>
      <c r="D191" s="1"/>
      <c r="E191" s="1"/>
      <c r="F191" s="5">
        <v>3.95</v>
      </c>
    </row>
    <row r="192" spans="2:6" x14ac:dyDescent="0.25">
      <c r="B192" s="10" t="s">
        <v>20</v>
      </c>
      <c r="C192" s="1"/>
      <c r="D192" s="1"/>
      <c r="E192" s="1"/>
      <c r="F192" s="4">
        <f>SUM(F181:F191)</f>
        <v>15.68</v>
      </c>
    </row>
    <row r="193" spans="2:6" x14ac:dyDescent="0.25">
      <c r="B193" s="3" t="s">
        <v>21</v>
      </c>
      <c r="C193" s="1"/>
      <c r="D193" s="1"/>
      <c r="E193" s="1"/>
      <c r="F193" s="1"/>
    </row>
    <row r="194" spans="2:6" x14ac:dyDescent="0.25">
      <c r="B194" s="1"/>
      <c r="C194" s="1"/>
      <c r="D194" s="1"/>
      <c r="E194" s="1"/>
      <c r="F194" s="24"/>
    </row>
    <row r="195" spans="2:6" x14ac:dyDescent="0.25">
      <c r="B195" s="1" t="s">
        <v>326</v>
      </c>
      <c r="C195" s="1" t="s">
        <v>26</v>
      </c>
      <c r="D195" s="1">
        <v>118</v>
      </c>
      <c r="E195" s="1">
        <v>177</v>
      </c>
      <c r="F195" s="24">
        <f t="shared" ref="F195:F207" si="4">E195/491.3*1000/12</f>
        <v>30.022389578668836</v>
      </c>
    </row>
    <row r="196" spans="2:6" x14ac:dyDescent="0.25">
      <c r="B196" s="1" t="s">
        <v>361</v>
      </c>
      <c r="C196" s="1" t="s">
        <v>265</v>
      </c>
      <c r="D196" s="1">
        <v>1</v>
      </c>
      <c r="E196" s="1">
        <v>10</v>
      </c>
      <c r="F196" s="24">
        <f t="shared" si="4"/>
        <v>1.6961802021846804</v>
      </c>
    </row>
    <row r="197" spans="2:6" x14ac:dyDescent="0.25">
      <c r="B197" s="1" t="s">
        <v>275</v>
      </c>
      <c r="C197" s="1" t="s">
        <v>26</v>
      </c>
      <c r="D197" s="1">
        <v>63</v>
      </c>
      <c r="E197" s="1">
        <v>94.5</v>
      </c>
      <c r="F197" s="24">
        <f t="shared" si="4"/>
        <v>16.028902910645225</v>
      </c>
    </row>
    <row r="198" spans="2:6" x14ac:dyDescent="0.25">
      <c r="B198" s="1" t="s">
        <v>318</v>
      </c>
      <c r="C198" s="1" t="s">
        <v>26</v>
      </c>
      <c r="D198" s="1">
        <v>390</v>
      </c>
      <c r="E198" s="1">
        <v>312</v>
      </c>
      <c r="F198" s="24">
        <f t="shared" si="4"/>
        <v>52.920822308162023</v>
      </c>
    </row>
    <row r="199" spans="2:6" x14ac:dyDescent="0.25">
      <c r="B199" s="1" t="s">
        <v>385</v>
      </c>
      <c r="C199" s="1" t="s">
        <v>26</v>
      </c>
      <c r="D199" s="1">
        <v>40</v>
      </c>
      <c r="E199" s="1">
        <v>24</v>
      </c>
      <c r="F199" s="24">
        <f t="shared" si="4"/>
        <v>4.0708324852432325</v>
      </c>
    </row>
    <row r="200" spans="2:6" x14ac:dyDescent="0.25">
      <c r="B200" s="1"/>
      <c r="C200" s="1"/>
      <c r="D200" s="1"/>
      <c r="E200" s="1"/>
      <c r="F200" s="24"/>
    </row>
    <row r="201" spans="2:6" x14ac:dyDescent="0.25">
      <c r="B201" s="1" t="s">
        <v>330</v>
      </c>
      <c r="C201" s="1" t="s">
        <v>261</v>
      </c>
      <c r="D201" s="1">
        <v>26</v>
      </c>
      <c r="E201" s="1">
        <v>33.799999999999997</v>
      </c>
      <c r="F201" s="24">
        <f t="shared" si="4"/>
        <v>5.7330890833842174</v>
      </c>
    </row>
    <row r="202" spans="2:6" x14ac:dyDescent="0.25">
      <c r="B202" s="1" t="s">
        <v>319</v>
      </c>
      <c r="C202" s="1" t="s">
        <v>261</v>
      </c>
      <c r="D202" s="1">
        <v>9</v>
      </c>
      <c r="E202" s="1">
        <v>11.7</v>
      </c>
      <c r="F202" s="24">
        <f t="shared" si="4"/>
        <v>1.9845308365560754</v>
      </c>
    </row>
    <row r="203" spans="2:6" x14ac:dyDescent="0.25">
      <c r="B203" s="1" t="s">
        <v>320</v>
      </c>
      <c r="C203" s="1" t="s">
        <v>261</v>
      </c>
      <c r="D203" s="1">
        <v>16</v>
      </c>
      <c r="E203" s="1">
        <v>30.4</v>
      </c>
      <c r="F203" s="24">
        <f t="shared" si="4"/>
        <v>5.1563878146414277</v>
      </c>
    </row>
    <row r="204" spans="2:6" x14ac:dyDescent="0.25">
      <c r="B204" s="1" t="s">
        <v>325</v>
      </c>
      <c r="C204" s="1" t="s">
        <v>261</v>
      </c>
      <c r="D204" s="1">
        <v>18</v>
      </c>
      <c r="E204" s="1">
        <v>34.200000000000003</v>
      </c>
      <c r="F204" s="24">
        <f t="shared" si="4"/>
        <v>5.8009362914716069</v>
      </c>
    </row>
    <row r="205" spans="2:6" x14ac:dyDescent="0.25">
      <c r="B205" s="1" t="s">
        <v>322</v>
      </c>
      <c r="C205" s="1" t="s">
        <v>261</v>
      </c>
      <c r="D205" s="1">
        <v>130</v>
      </c>
      <c r="E205" s="1">
        <v>156</v>
      </c>
      <c r="F205" s="24">
        <f t="shared" si="4"/>
        <v>26.460411154081012</v>
      </c>
    </row>
    <row r="206" spans="2:6" x14ac:dyDescent="0.25">
      <c r="B206" s="1" t="s">
        <v>321</v>
      </c>
      <c r="C206" s="1" t="s">
        <v>256</v>
      </c>
      <c r="D206" s="1">
        <v>1</v>
      </c>
      <c r="E206" s="1">
        <v>50</v>
      </c>
      <c r="F206" s="24">
        <f t="shared" si="4"/>
        <v>8.4809010109234002</v>
      </c>
    </row>
    <row r="207" spans="2:6" x14ac:dyDescent="0.25">
      <c r="B207" s="1" t="s">
        <v>323</v>
      </c>
      <c r="C207" s="1" t="s">
        <v>261</v>
      </c>
      <c r="D207" s="1">
        <v>140</v>
      </c>
      <c r="E207" s="1">
        <v>140</v>
      </c>
      <c r="F207" s="24">
        <f t="shared" si="4"/>
        <v>23.746522830585523</v>
      </c>
    </row>
    <row r="208" spans="2:6" x14ac:dyDescent="0.25">
      <c r="B208" s="10" t="s">
        <v>20</v>
      </c>
      <c r="C208" s="1"/>
      <c r="D208" s="1"/>
      <c r="E208" s="4">
        <f>SUM(E194:E207)</f>
        <v>1073.5999999999999</v>
      </c>
      <c r="F208" s="22">
        <f>SUM(F194:F207)</f>
        <v>182.10190650654724</v>
      </c>
    </row>
    <row r="209" spans="2:6" x14ac:dyDescent="0.25">
      <c r="B209" s="4" t="s">
        <v>22</v>
      </c>
      <c r="C209" s="6"/>
      <c r="D209" s="6"/>
      <c r="E209" s="6"/>
      <c r="F209" s="23">
        <f>F192+F208</f>
        <v>197.78190650654724</v>
      </c>
    </row>
    <row r="210" spans="2:6" x14ac:dyDescent="0.25">
      <c r="B210" s="7"/>
      <c r="C210" s="7"/>
      <c r="D210" s="7"/>
      <c r="E210" s="7"/>
      <c r="F210" s="7"/>
    </row>
    <row r="211" spans="2:6" x14ac:dyDescent="0.25">
      <c r="B211" s="13"/>
      <c r="C211" s="13"/>
      <c r="D211" s="13"/>
      <c r="E211" s="13"/>
      <c r="F211" s="13"/>
    </row>
    <row r="212" spans="2:6" x14ac:dyDescent="0.25">
      <c r="B212" s="13"/>
      <c r="C212" s="13"/>
      <c r="D212" s="13"/>
      <c r="E212" s="13"/>
      <c r="F212" s="13"/>
    </row>
    <row r="213" spans="2:6" x14ac:dyDescent="0.25">
      <c r="B213" s="39" t="s">
        <v>23</v>
      </c>
      <c r="C213" s="38"/>
      <c r="D213" s="38"/>
      <c r="E213" s="39" t="s">
        <v>24</v>
      </c>
      <c r="F213" s="38"/>
    </row>
    <row r="216" spans="2:6" ht="38.450000000000003" customHeight="1" x14ac:dyDescent="0.25">
      <c r="B216" s="37" t="s">
        <v>73</v>
      </c>
      <c r="C216" s="37"/>
      <c r="D216" s="37"/>
      <c r="E216" s="37"/>
      <c r="F216" s="37"/>
    </row>
    <row r="217" spans="2:6" ht="34.9" customHeight="1" x14ac:dyDescent="0.25">
      <c r="B217" s="37" t="s">
        <v>1</v>
      </c>
      <c r="C217" s="37"/>
      <c r="D217" s="37"/>
      <c r="E217" s="37"/>
      <c r="F217" s="37"/>
    </row>
    <row r="218" spans="2:6" x14ac:dyDescent="0.25">
      <c r="B218" s="14" t="s">
        <v>0</v>
      </c>
      <c r="C218" s="14"/>
      <c r="D218" s="14"/>
      <c r="E218" s="14"/>
      <c r="F218" s="14"/>
    </row>
    <row r="219" spans="2:6" x14ac:dyDescent="0.25">
      <c r="B219" s="12"/>
      <c r="C219" s="38" t="s">
        <v>25</v>
      </c>
      <c r="D219" s="38"/>
      <c r="E219" s="12">
        <v>190</v>
      </c>
      <c r="F219" s="12" t="s">
        <v>26</v>
      </c>
    </row>
    <row r="221" spans="2:6" ht="60" x14ac:dyDescent="0.25">
      <c r="B221" s="1" t="s">
        <v>2</v>
      </c>
      <c r="C221" s="1" t="s">
        <v>4</v>
      </c>
      <c r="D221" s="1" t="s">
        <v>3</v>
      </c>
      <c r="E221" s="1" t="s">
        <v>447</v>
      </c>
      <c r="F221" s="1" t="s">
        <v>5</v>
      </c>
    </row>
    <row r="222" spans="2:6" x14ac:dyDescent="0.25">
      <c r="B222" s="1"/>
      <c r="C222" s="1"/>
      <c r="D222" s="1"/>
      <c r="E222" s="1"/>
      <c r="F222" s="1"/>
    </row>
    <row r="223" spans="2:6" x14ac:dyDescent="0.25">
      <c r="B223" s="3" t="s">
        <v>6</v>
      </c>
      <c r="C223" s="1"/>
      <c r="D223" s="1"/>
      <c r="E223" s="1"/>
      <c r="F223" s="1"/>
    </row>
    <row r="224" spans="2:6" x14ac:dyDescent="0.25">
      <c r="B224" s="5" t="s">
        <v>7</v>
      </c>
      <c r="C224" s="1"/>
      <c r="D224" s="1"/>
      <c r="E224" s="1"/>
      <c r="F224" s="5">
        <v>2.0099999999999998</v>
      </c>
    </row>
    <row r="225" spans="2:6" x14ac:dyDescent="0.25">
      <c r="B225" s="5" t="s">
        <v>8</v>
      </c>
      <c r="C225" s="1"/>
      <c r="D225" s="1"/>
      <c r="E225" s="1"/>
      <c r="F225" s="5">
        <v>5.34</v>
      </c>
    </row>
    <row r="226" spans="2:6" ht="24.75" x14ac:dyDescent="0.25">
      <c r="B226" s="5" t="s">
        <v>11</v>
      </c>
      <c r="C226" s="1"/>
      <c r="D226" s="1"/>
      <c r="E226" s="1"/>
      <c r="F226" s="5">
        <v>0.55000000000000004</v>
      </c>
    </row>
    <row r="227" spans="2:6" ht="24.75" x14ac:dyDescent="0.25">
      <c r="B227" s="5" t="s">
        <v>12</v>
      </c>
      <c r="C227" s="1"/>
      <c r="D227" s="1"/>
      <c r="E227" s="1"/>
      <c r="F227" s="5">
        <v>0.53</v>
      </c>
    </row>
    <row r="228" spans="2:6" ht="24.75" x14ac:dyDescent="0.25">
      <c r="B228" s="5" t="s">
        <v>13</v>
      </c>
      <c r="C228" s="1"/>
      <c r="D228" s="1"/>
      <c r="E228" s="1"/>
      <c r="F228" s="5">
        <v>0.19</v>
      </c>
    </row>
    <row r="229" spans="2:6" ht="24.75" x14ac:dyDescent="0.25">
      <c r="B229" s="5" t="s">
        <v>14</v>
      </c>
      <c r="C229" s="1"/>
      <c r="D229" s="1"/>
      <c r="E229" s="1"/>
      <c r="F229" s="5">
        <v>1.25</v>
      </c>
    </row>
    <row r="230" spans="2:6" ht="24.75" x14ac:dyDescent="0.25">
      <c r="B230" s="5" t="s">
        <v>9</v>
      </c>
      <c r="C230" s="1"/>
      <c r="D230" s="1"/>
      <c r="E230" s="1"/>
      <c r="F230" s="5">
        <v>0.26</v>
      </c>
    </row>
    <row r="231" spans="2:6" ht="24.75" x14ac:dyDescent="0.25">
      <c r="B231" s="5" t="s">
        <v>15</v>
      </c>
      <c r="C231" s="1"/>
      <c r="D231" s="1"/>
      <c r="E231" s="1"/>
      <c r="F231" s="5">
        <v>0.27</v>
      </c>
    </row>
    <row r="232" spans="2:6" ht="24.75" x14ac:dyDescent="0.25">
      <c r="B232" s="5" t="s">
        <v>16</v>
      </c>
      <c r="C232" s="1"/>
      <c r="D232" s="1"/>
      <c r="E232" s="1"/>
      <c r="F232" s="5">
        <v>0.28999999999999998</v>
      </c>
    </row>
    <row r="233" spans="2:6" x14ac:dyDescent="0.25">
      <c r="B233" s="5" t="s">
        <v>17</v>
      </c>
      <c r="C233" s="1"/>
      <c r="D233" s="1"/>
      <c r="E233" s="1"/>
      <c r="F233" s="5">
        <v>0.32</v>
      </c>
    </row>
    <row r="234" spans="2:6" x14ac:dyDescent="0.25">
      <c r="B234" s="5" t="s">
        <v>18</v>
      </c>
      <c r="C234" s="1"/>
      <c r="D234" s="1"/>
      <c r="E234" s="1"/>
      <c r="F234" s="5">
        <v>1.97</v>
      </c>
    </row>
    <row r="235" spans="2:6" x14ac:dyDescent="0.25">
      <c r="B235" s="5" t="s">
        <v>19</v>
      </c>
      <c r="C235" s="1"/>
      <c r="D235" s="1"/>
      <c r="E235" s="1"/>
      <c r="F235" s="5">
        <v>3.95</v>
      </c>
    </row>
    <row r="236" spans="2:6" x14ac:dyDescent="0.25">
      <c r="B236" s="10" t="s">
        <v>20</v>
      </c>
      <c r="C236" s="1"/>
      <c r="D236" s="1"/>
      <c r="E236" s="1"/>
      <c r="F236" s="4">
        <f>SUM(F224:F235)</f>
        <v>16.93</v>
      </c>
    </row>
    <row r="237" spans="2:6" x14ac:dyDescent="0.25">
      <c r="B237" s="3" t="s">
        <v>21</v>
      </c>
      <c r="C237" s="1"/>
      <c r="D237" s="1"/>
      <c r="E237" s="1"/>
      <c r="F237" s="1"/>
    </row>
    <row r="238" spans="2:6" x14ac:dyDescent="0.25">
      <c r="B238" s="1" t="s">
        <v>326</v>
      </c>
      <c r="C238" s="1" t="s">
        <v>26</v>
      </c>
      <c r="D238" s="1">
        <v>9</v>
      </c>
      <c r="E238" s="1">
        <v>13.5</v>
      </c>
      <c r="F238" s="24">
        <f>E238/190*1000/12</f>
        <v>5.9210526315789478</v>
      </c>
    </row>
    <row r="239" spans="2:6" x14ac:dyDescent="0.25">
      <c r="B239" s="1" t="s">
        <v>327</v>
      </c>
      <c r="C239" s="1" t="s">
        <v>261</v>
      </c>
      <c r="D239" s="1">
        <v>18</v>
      </c>
      <c r="E239" s="1">
        <v>15.3</v>
      </c>
      <c r="F239" s="24">
        <f t="shared" ref="F239:F250" si="5">E239/190*1000/12</f>
        <v>6.7105263157894735</v>
      </c>
    </row>
    <row r="240" spans="2:6" x14ac:dyDescent="0.25">
      <c r="B240" s="1" t="s">
        <v>275</v>
      </c>
      <c r="C240" s="1" t="s">
        <v>26</v>
      </c>
      <c r="D240" s="1">
        <v>52</v>
      </c>
      <c r="E240" s="1">
        <v>78</v>
      </c>
      <c r="F240" s="24">
        <f t="shared" si="5"/>
        <v>34.210526315789473</v>
      </c>
    </row>
    <row r="241" spans="2:6" x14ac:dyDescent="0.25">
      <c r="B241" s="1" t="s">
        <v>392</v>
      </c>
      <c r="C241" s="1" t="s">
        <v>26</v>
      </c>
      <c r="D241" s="1">
        <v>169</v>
      </c>
      <c r="E241" s="1">
        <v>253.5</v>
      </c>
      <c r="F241" s="24">
        <f t="shared" si="5"/>
        <v>111.18421052631579</v>
      </c>
    </row>
    <row r="242" spans="2:6" x14ac:dyDescent="0.25">
      <c r="B242" s="1"/>
      <c r="C242" s="1"/>
      <c r="D242" s="1"/>
      <c r="E242" s="1"/>
      <c r="F242" s="24">
        <f t="shared" si="5"/>
        <v>0</v>
      </c>
    </row>
    <row r="243" spans="2:6" x14ac:dyDescent="0.25">
      <c r="B243" s="1"/>
      <c r="C243" s="1"/>
      <c r="D243" s="1"/>
      <c r="E243" s="1"/>
      <c r="F243" s="24">
        <f t="shared" si="5"/>
        <v>0</v>
      </c>
    </row>
    <row r="244" spans="2:6" x14ac:dyDescent="0.25">
      <c r="B244" s="1"/>
      <c r="C244" s="1"/>
      <c r="D244" s="1"/>
      <c r="E244" s="1"/>
      <c r="F244" s="24">
        <f t="shared" si="5"/>
        <v>0</v>
      </c>
    </row>
    <row r="245" spans="2:6" x14ac:dyDescent="0.25">
      <c r="B245" s="1"/>
      <c r="C245" s="1"/>
      <c r="D245" s="1"/>
      <c r="E245" s="1"/>
      <c r="F245" s="24">
        <f t="shared" si="5"/>
        <v>0</v>
      </c>
    </row>
    <row r="246" spans="2:6" x14ac:dyDescent="0.25">
      <c r="B246" s="1"/>
      <c r="C246" s="1"/>
      <c r="D246" s="1"/>
      <c r="E246" s="1"/>
      <c r="F246" s="24">
        <f t="shared" si="5"/>
        <v>0</v>
      </c>
    </row>
    <row r="247" spans="2:6" x14ac:dyDescent="0.25">
      <c r="B247" s="1"/>
      <c r="C247" s="1"/>
      <c r="D247" s="1"/>
      <c r="E247" s="1"/>
      <c r="F247" s="24">
        <f t="shared" si="5"/>
        <v>0</v>
      </c>
    </row>
    <row r="248" spans="2:6" x14ac:dyDescent="0.25">
      <c r="B248" s="1"/>
      <c r="C248" s="1"/>
      <c r="D248" s="1"/>
      <c r="E248" s="1"/>
      <c r="F248" s="24">
        <f t="shared" si="5"/>
        <v>0</v>
      </c>
    </row>
    <row r="249" spans="2:6" x14ac:dyDescent="0.25">
      <c r="B249" s="1"/>
      <c r="C249" s="1"/>
      <c r="D249" s="1"/>
      <c r="E249" s="1"/>
      <c r="F249" s="24">
        <f t="shared" si="5"/>
        <v>0</v>
      </c>
    </row>
    <row r="250" spans="2:6" x14ac:dyDescent="0.25">
      <c r="B250" s="1"/>
      <c r="C250" s="1"/>
      <c r="D250" s="1"/>
      <c r="E250" s="1"/>
      <c r="F250" s="24">
        <f t="shared" si="5"/>
        <v>0</v>
      </c>
    </row>
    <row r="251" spans="2:6" x14ac:dyDescent="0.25">
      <c r="B251" s="10" t="s">
        <v>20</v>
      </c>
      <c r="C251" s="1"/>
      <c r="D251" s="1"/>
      <c r="E251" s="4">
        <f>SUM(E238:E250)</f>
        <v>360.3</v>
      </c>
      <c r="F251" s="22">
        <f>SUM(F238:F250)</f>
        <v>158.0263157894737</v>
      </c>
    </row>
    <row r="252" spans="2:6" x14ac:dyDescent="0.25">
      <c r="B252" s="4" t="s">
        <v>22</v>
      </c>
      <c r="C252" s="6"/>
      <c r="D252" s="6"/>
      <c r="E252" s="6"/>
      <c r="F252" s="23">
        <f>F236+F251</f>
        <v>174.95631578947371</v>
      </c>
    </row>
    <row r="253" spans="2:6" x14ac:dyDescent="0.25">
      <c r="B253" s="7"/>
      <c r="C253" s="7"/>
      <c r="D253" s="7"/>
      <c r="E253" s="7"/>
      <c r="F253" s="7"/>
    </row>
    <row r="254" spans="2:6" x14ac:dyDescent="0.25">
      <c r="B254" s="13"/>
      <c r="C254" s="13"/>
      <c r="D254" s="13"/>
      <c r="E254" s="13"/>
      <c r="F254" s="13"/>
    </row>
    <row r="255" spans="2:6" ht="14.45" customHeight="1" x14ac:dyDescent="0.25">
      <c r="B255" s="13"/>
      <c r="C255" s="13"/>
      <c r="D255" s="13"/>
      <c r="E255" s="13"/>
      <c r="F255" s="13"/>
    </row>
    <row r="256" spans="2:6" ht="14.45" customHeight="1" x14ac:dyDescent="0.25">
      <c r="B256" s="39" t="s">
        <v>23</v>
      </c>
      <c r="C256" s="38"/>
      <c r="D256" s="38"/>
      <c r="E256" s="39" t="s">
        <v>24</v>
      </c>
      <c r="F256" s="38"/>
    </row>
    <row r="258" spans="2:6" ht="29.45" customHeight="1" x14ac:dyDescent="0.25">
      <c r="B258" s="37" t="s">
        <v>74</v>
      </c>
      <c r="C258" s="37"/>
      <c r="D258" s="37"/>
      <c r="E258" s="37"/>
      <c r="F258" s="37"/>
    </row>
    <row r="259" spans="2:6" ht="28.9" customHeight="1" x14ac:dyDescent="0.25">
      <c r="B259" s="37" t="s">
        <v>1</v>
      </c>
      <c r="C259" s="37"/>
      <c r="D259" s="37"/>
      <c r="E259" s="37"/>
      <c r="F259" s="37"/>
    </row>
    <row r="260" spans="2:6" x14ac:dyDescent="0.25">
      <c r="B260" s="14" t="s">
        <v>0</v>
      </c>
      <c r="C260" s="14"/>
      <c r="D260" s="14"/>
      <c r="E260" s="14"/>
      <c r="F260" s="14"/>
    </row>
    <row r="261" spans="2:6" x14ac:dyDescent="0.25">
      <c r="B261" s="12"/>
      <c r="C261" s="38" t="s">
        <v>25</v>
      </c>
      <c r="D261" s="38"/>
      <c r="E261" s="12">
        <v>352</v>
      </c>
      <c r="F261" s="12" t="s">
        <v>26</v>
      </c>
    </row>
    <row r="263" spans="2:6" ht="60" x14ac:dyDescent="0.25">
      <c r="B263" s="1" t="s">
        <v>2</v>
      </c>
      <c r="C263" s="1" t="s">
        <v>4</v>
      </c>
      <c r="D263" s="1" t="s">
        <v>3</v>
      </c>
      <c r="E263" s="1" t="s">
        <v>447</v>
      </c>
      <c r="F263" s="1" t="s">
        <v>5</v>
      </c>
    </row>
    <row r="264" spans="2:6" x14ac:dyDescent="0.25">
      <c r="B264" s="1"/>
      <c r="C264" s="1"/>
      <c r="D264" s="1"/>
      <c r="E264" s="1"/>
      <c r="F264" s="1"/>
    </row>
    <row r="265" spans="2:6" x14ac:dyDescent="0.25">
      <c r="B265" s="3" t="s">
        <v>6</v>
      </c>
      <c r="C265" s="1"/>
      <c r="D265" s="1"/>
      <c r="E265" s="1"/>
      <c r="F265" s="1"/>
    </row>
    <row r="266" spans="2:6" x14ac:dyDescent="0.25">
      <c r="B266" s="5" t="s">
        <v>7</v>
      </c>
      <c r="C266" s="1"/>
      <c r="D266" s="1"/>
      <c r="E266" s="1"/>
      <c r="F266" s="5">
        <v>2.0099999999999998</v>
      </c>
    </row>
    <row r="267" spans="2:6" x14ac:dyDescent="0.25">
      <c r="B267" s="5" t="s">
        <v>8</v>
      </c>
      <c r="C267" s="1"/>
      <c r="D267" s="1"/>
      <c r="E267" s="1"/>
      <c r="F267" s="5">
        <v>5.34</v>
      </c>
    </row>
    <row r="268" spans="2:6" ht="24.75" x14ac:dyDescent="0.25">
      <c r="B268" s="5" t="s">
        <v>11</v>
      </c>
      <c r="C268" s="1"/>
      <c r="D268" s="1"/>
      <c r="E268" s="1"/>
      <c r="F268" s="5">
        <v>0.55000000000000004</v>
      </c>
    </row>
    <row r="269" spans="2:6" ht="24.75" x14ac:dyDescent="0.25">
      <c r="B269" s="5" t="s">
        <v>12</v>
      </c>
      <c r="C269" s="1"/>
      <c r="D269" s="1"/>
      <c r="E269" s="1"/>
      <c r="F269" s="5">
        <v>0.53</v>
      </c>
    </row>
    <row r="270" spans="2:6" ht="24.75" x14ac:dyDescent="0.25">
      <c r="B270" s="5" t="s">
        <v>13</v>
      </c>
      <c r="C270" s="1"/>
      <c r="D270" s="1"/>
      <c r="E270" s="1"/>
      <c r="F270" s="5">
        <v>0.19</v>
      </c>
    </row>
    <row r="271" spans="2:6" ht="24.75" x14ac:dyDescent="0.25">
      <c r="B271" s="5" t="s">
        <v>14</v>
      </c>
      <c r="C271" s="1"/>
      <c r="D271" s="1"/>
      <c r="E271" s="1"/>
      <c r="F271" s="5">
        <v>1.25</v>
      </c>
    </row>
    <row r="272" spans="2:6" ht="24.75" x14ac:dyDescent="0.25">
      <c r="B272" s="5" t="s">
        <v>9</v>
      </c>
      <c r="C272" s="1"/>
      <c r="D272" s="1"/>
      <c r="E272" s="1"/>
      <c r="F272" s="5">
        <v>0.26</v>
      </c>
    </row>
    <row r="273" spans="2:6" ht="12" customHeight="1" x14ac:dyDescent="0.25">
      <c r="B273" s="5" t="s">
        <v>15</v>
      </c>
      <c r="C273" s="1"/>
      <c r="D273" s="1"/>
      <c r="E273" s="1"/>
      <c r="F273" s="5">
        <v>0.27</v>
      </c>
    </row>
    <row r="274" spans="2:6" ht="24.75" x14ac:dyDescent="0.25">
      <c r="B274" s="5" t="s">
        <v>16</v>
      </c>
      <c r="C274" s="1"/>
      <c r="D274" s="1"/>
      <c r="E274" s="1"/>
      <c r="F274" s="5">
        <v>0.28999999999999998</v>
      </c>
    </row>
    <row r="275" spans="2:6" x14ac:dyDescent="0.25">
      <c r="B275" s="5" t="s">
        <v>17</v>
      </c>
      <c r="C275" s="1"/>
      <c r="D275" s="1"/>
      <c r="E275" s="1"/>
      <c r="F275" s="5">
        <v>0.32</v>
      </c>
    </row>
    <row r="276" spans="2:6" x14ac:dyDescent="0.25">
      <c r="B276" s="5" t="s">
        <v>18</v>
      </c>
      <c r="C276" s="1"/>
      <c r="D276" s="1"/>
      <c r="E276" s="1"/>
      <c r="F276" s="5">
        <v>1.97</v>
      </c>
    </row>
    <row r="277" spans="2:6" x14ac:dyDescent="0.25">
      <c r="B277" s="5" t="s">
        <v>19</v>
      </c>
      <c r="C277" s="1"/>
      <c r="D277" s="1"/>
      <c r="E277" s="1"/>
      <c r="F277" s="5">
        <v>3.95</v>
      </c>
    </row>
    <row r="278" spans="2:6" x14ac:dyDescent="0.25">
      <c r="B278" s="10" t="s">
        <v>20</v>
      </c>
      <c r="C278" s="1"/>
      <c r="D278" s="1"/>
      <c r="E278" s="1"/>
      <c r="F278" s="4">
        <f>SUM(F266:F277)</f>
        <v>16.93</v>
      </c>
    </row>
    <row r="279" spans="2:6" x14ac:dyDescent="0.25">
      <c r="B279" s="3" t="s">
        <v>21</v>
      </c>
      <c r="C279" s="1"/>
      <c r="D279" s="1"/>
      <c r="E279" s="1"/>
      <c r="F279" s="1"/>
    </row>
    <row r="280" spans="2:6" x14ac:dyDescent="0.25">
      <c r="B280" s="1" t="s">
        <v>320</v>
      </c>
      <c r="C280" s="1" t="s">
        <v>261</v>
      </c>
      <c r="D280" s="1">
        <v>30</v>
      </c>
      <c r="E280" s="1">
        <v>57</v>
      </c>
      <c r="F280" s="24">
        <f>E280/352*1000/12</f>
        <v>13.494318181818182</v>
      </c>
    </row>
    <row r="281" spans="2:6" x14ac:dyDescent="0.25">
      <c r="B281" s="1" t="s">
        <v>325</v>
      </c>
      <c r="C281" s="1" t="s">
        <v>261</v>
      </c>
      <c r="D281" s="1">
        <v>24</v>
      </c>
      <c r="E281" s="1">
        <v>45.6</v>
      </c>
      <c r="F281" s="24">
        <f t="shared" ref="F281:F287" si="6">E281/352*1000/12</f>
        <v>10.795454545454547</v>
      </c>
    </row>
    <row r="282" spans="2:6" x14ac:dyDescent="0.25">
      <c r="B282" s="1" t="s">
        <v>343</v>
      </c>
      <c r="C282" s="1" t="s">
        <v>256</v>
      </c>
      <c r="D282" s="1">
        <v>2</v>
      </c>
      <c r="E282" s="1">
        <v>100</v>
      </c>
      <c r="F282" s="24">
        <f t="shared" si="6"/>
        <v>23.674242424242426</v>
      </c>
    </row>
    <row r="283" spans="2:6" x14ac:dyDescent="0.25">
      <c r="B283" s="1" t="s">
        <v>275</v>
      </c>
      <c r="C283" s="1" t="s">
        <v>26</v>
      </c>
      <c r="D283" s="1">
        <v>70</v>
      </c>
      <c r="E283" s="1">
        <v>105</v>
      </c>
      <c r="F283" s="24">
        <f t="shared" si="6"/>
        <v>24.857954545454543</v>
      </c>
    </row>
    <row r="284" spans="2:6" x14ac:dyDescent="0.25">
      <c r="B284" s="1" t="s">
        <v>449</v>
      </c>
      <c r="C284" s="1" t="s">
        <v>26</v>
      </c>
      <c r="D284" s="1">
        <v>40</v>
      </c>
      <c r="E284" s="1">
        <v>60</v>
      </c>
      <c r="F284" s="24">
        <f t="shared" si="6"/>
        <v>14.204545454545453</v>
      </c>
    </row>
    <row r="285" spans="2:6" x14ac:dyDescent="0.25">
      <c r="B285" s="1" t="s">
        <v>352</v>
      </c>
      <c r="C285" s="1" t="s">
        <v>261</v>
      </c>
      <c r="D285" s="1">
        <v>128</v>
      </c>
      <c r="E285" s="1">
        <v>109</v>
      </c>
      <c r="F285" s="24">
        <f t="shared" si="6"/>
        <v>25.804924242424239</v>
      </c>
    </row>
    <row r="286" spans="2:6" x14ac:dyDescent="0.25">
      <c r="B286" s="1" t="s">
        <v>322</v>
      </c>
      <c r="C286" s="1" t="s">
        <v>261</v>
      </c>
      <c r="D286" s="1">
        <v>120</v>
      </c>
      <c r="E286" s="1">
        <v>144</v>
      </c>
      <c r="F286" s="24">
        <f t="shared" si="6"/>
        <v>34.090909090909093</v>
      </c>
    </row>
    <row r="287" spans="2:6" x14ac:dyDescent="0.25">
      <c r="B287" s="1" t="s">
        <v>323</v>
      </c>
      <c r="C287" s="1" t="s">
        <v>261</v>
      </c>
      <c r="D287" s="1">
        <v>160</v>
      </c>
      <c r="E287" s="1">
        <v>160</v>
      </c>
      <c r="F287" s="24">
        <f t="shared" si="6"/>
        <v>37.878787878787875</v>
      </c>
    </row>
    <row r="288" spans="2:6" x14ac:dyDescent="0.25">
      <c r="B288" s="1"/>
      <c r="C288" s="1"/>
      <c r="D288" s="1"/>
      <c r="E288" s="1"/>
      <c r="F288" s="24"/>
    </row>
    <row r="289" spans="2:6" x14ac:dyDescent="0.25">
      <c r="B289" s="1"/>
      <c r="C289" s="1"/>
      <c r="D289" s="1"/>
      <c r="E289" s="1"/>
      <c r="F289" s="24"/>
    </row>
    <row r="290" spans="2:6" x14ac:dyDescent="0.25">
      <c r="B290" s="1"/>
      <c r="C290" s="1"/>
      <c r="D290" s="1"/>
      <c r="E290" s="1"/>
      <c r="F290" s="24"/>
    </row>
    <row r="291" spans="2:6" x14ac:dyDescent="0.25">
      <c r="B291" s="1"/>
      <c r="C291" s="1"/>
      <c r="D291" s="1"/>
      <c r="E291" s="1"/>
      <c r="F291" s="24"/>
    </row>
    <row r="292" spans="2:6" x14ac:dyDescent="0.25">
      <c r="B292" s="1"/>
      <c r="C292" s="1"/>
      <c r="D292" s="1"/>
      <c r="E292" s="1"/>
      <c r="F292" s="24"/>
    </row>
    <row r="293" spans="2:6" x14ac:dyDescent="0.25">
      <c r="B293" s="10" t="s">
        <v>20</v>
      </c>
      <c r="C293" s="1"/>
      <c r="D293" s="1"/>
      <c r="E293" s="4">
        <f>SUM(E280:E292)</f>
        <v>780.6</v>
      </c>
      <c r="F293" s="22">
        <f>SUM(F280:F292)</f>
        <v>184.80113636363637</v>
      </c>
    </row>
    <row r="294" spans="2:6" x14ac:dyDescent="0.25">
      <c r="B294" s="4" t="s">
        <v>22</v>
      </c>
      <c r="C294" s="6"/>
      <c r="D294" s="6"/>
      <c r="E294" s="6"/>
      <c r="F294" s="23">
        <f>F278+F293</f>
        <v>201.73113636363638</v>
      </c>
    </row>
    <row r="295" spans="2:6" x14ac:dyDescent="0.25">
      <c r="B295" s="7"/>
      <c r="C295" s="7"/>
      <c r="D295" s="7"/>
      <c r="E295" s="7"/>
      <c r="F295" s="7"/>
    </row>
    <row r="296" spans="2:6" x14ac:dyDescent="0.25">
      <c r="B296" s="13"/>
      <c r="C296" s="13"/>
      <c r="D296" s="13"/>
      <c r="E296" s="13"/>
      <c r="F296" s="13"/>
    </row>
    <row r="297" spans="2:6" x14ac:dyDescent="0.25">
      <c r="B297" s="13"/>
      <c r="C297" s="13"/>
      <c r="D297" s="13"/>
      <c r="E297" s="13"/>
      <c r="F297" s="13"/>
    </row>
    <row r="298" spans="2:6" x14ac:dyDescent="0.25">
      <c r="B298" s="39" t="s">
        <v>23</v>
      </c>
      <c r="C298" s="38"/>
      <c r="D298" s="38"/>
      <c r="E298" s="39" t="s">
        <v>24</v>
      </c>
      <c r="F298" s="38"/>
    </row>
    <row r="300" spans="2:6" ht="31.15" customHeight="1" x14ac:dyDescent="0.25">
      <c r="B300" s="37" t="s">
        <v>75</v>
      </c>
      <c r="C300" s="37"/>
      <c r="D300" s="37"/>
      <c r="E300" s="37"/>
      <c r="F300" s="37"/>
    </row>
    <row r="301" spans="2:6" ht="33.6" customHeight="1" x14ac:dyDescent="0.25">
      <c r="B301" s="37" t="s">
        <v>1</v>
      </c>
      <c r="C301" s="37"/>
      <c r="D301" s="37"/>
      <c r="E301" s="37"/>
      <c r="F301" s="37"/>
    </row>
    <row r="302" spans="2:6" x14ac:dyDescent="0.25">
      <c r="B302" s="14" t="s">
        <v>0</v>
      </c>
      <c r="C302" s="14"/>
      <c r="D302" s="14"/>
      <c r="E302" s="14"/>
      <c r="F302" s="14"/>
    </row>
    <row r="303" spans="2:6" x14ac:dyDescent="0.25">
      <c r="B303" s="12"/>
      <c r="C303" s="38" t="s">
        <v>25</v>
      </c>
      <c r="D303" s="38"/>
      <c r="E303" s="12">
        <v>1734</v>
      </c>
      <c r="F303" s="12" t="s">
        <v>26</v>
      </c>
    </row>
    <row r="305" spans="2:6" ht="60" x14ac:dyDescent="0.25">
      <c r="B305" s="1" t="s">
        <v>2</v>
      </c>
      <c r="C305" s="1" t="s">
        <v>4</v>
      </c>
      <c r="D305" s="1" t="s">
        <v>3</v>
      </c>
      <c r="E305" s="1" t="s">
        <v>447</v>
      </c>
      <c r="F305" s="1" t="s">
        <v>5</v>
      </c>
    </row>
    <row r="306" spans="2:6" x14ac:dyDescent="0.25">
      <c r="B306" s="1"/>
      <c r="C306" s="1"/>
      <c r="D306" s="1"/>
      <c r="E306" s="1"/>
      <c r="F306" s="1"/>
    </row>
    <row r="307" spans="2:6" x14ac:dyDescent="0.25">
      <c r="B307" s="3" t="s">
        <v>6</v>
      </c>
      <c r="C307" s="1"/>
      <c r="D307" s="1"/>
      <c r="E307" s="1"/>
      <c r="F307" s="1"/>
    </row>
    <row r="308" spans="2:6" x14ac:dyDescent="0.25">
      <c r="B308" s="5" t="s">
        <v>7</v>
      </c>
      <c r="C308" s="1"/>
      <c r="D308" s="1"/>
      <c r="E308" s="1"/>
      <c r="F308" s="5">
        <v>2.0099999999999998</v>
      </c>
    </row>
    <row r="309" spans="2:6" x14ac:dyDescent="0.25">
      <c r="B309" s="5" t="s">
        <v>8</v>
      </c>
      <c r="C309" s="1"/>
      <c r="D309" s="1"/>
      <c r="E309" s="1"/>
      <c r="F309" s="5">
        <v>5.34</v>
      </c>
    </row>
    <row r="310" spans="2:6" x14ac:dyDescent="0.25">
      <c r="B310" s="15" t="s">
        <v>30</v>
      </c>
      <c r="C310" s="1"/>
      <c r="D310" s="1"/>
      <c r="E310" s="1"/>
      <c r="F310" s="5">
        <v>0.06</v>
      </c>
    </row>
    <row r="311" spans="2:6" ht="24.75" x14ac:dyDescent="0.25">
      <c r="B311" s="5" t="s">
        <v>11</v>
      </c>
      <c r="C311" s="1"/>
      <c r="D311" s="1"/>
      <c r="E311" s="1"/>
      <c r="F311" s="5">
        <v>0.55000000000000004</v>
      </c>
    </row>
    <row r="312" spans="2:6" ht="24.75" x14ac:dyDescent="0.25">
      <c r="B312" s="5" t="s">
        <v>12</v>
      </c>
      <c r="C312" s="1"/>
      <c r="D312" s="1"/>
      <c r="E312" s="1"/>
      <c r="F312" s="5">
        <v>0.53</v>
      </c>
    </row>
    <row r="313" spans="2:6" ht="24.75" x14ac:dyDescent="0.25">
      <c r="B313" s="5" t="s">
        <v>13</v>
      </c>
      <c r="C313" s="1"/>
      <c r="D313" s="1"/>
      <c r="E313" s="1"/>
      <c r="F313" s="5">
        <v>0.19</v>
      </c>
    </row>
    <row r="314" spans="2:6" ht="24.75" x14ac:dyDescent="0.25">
      <c r="B314" s="5" t="s">
        <v>14</v>
      </c>
      <c r="C314" s="1"/>
      <c r="D314" s="1"/>
      <c r="E314" s="1"/>
      <c r="F314" s="5">
        <v>1.25</v>
      </c>
    </row>
    <row r="315" spans="2:6" ht="24.75" x14ac:dyDescent="0.25">
      <c r="B315" s="5" t="s">
        <v>9</v>
      </c>
      <c r="C315" s="1"/>
      <c r="D315" s="1"/>
      <c r="E315" s="1"/>
      <c r="F315" s="5">
        <v>0.26</v>
      </c>
    </row>
    <row r="316" spans="2:6" ht="24.75" x14ac:dyDescent="0.25">
      <c r="B316" s="5" t="s">
        <v>15</v>
      </c>
      <c r="C316" s="1"/>
      <c r="D316" s="1"/>
      <c r="E316" s="1"/>
      <c r="F316" s="5">
        <v>0.27</v>
      </c>
    </row>
    <row r="317" spans="2:6" ht="24.75" x14ac:dyDescent="0.25">
      <c r="B317" s="5" t="s">
        <v>16</v>
      </c>
      <c r="C317" s="1"/>
      <c r="D317" s="1"/>
      <c r="E317" s="1"/>
      <c r="F317" s="5">
        <v>0.28999999999999998</v>
      </c>
    </row>
    <row r="318" spans="2:6" x14ac:dyDescent="0.25">
      <c r="B318" s="5" t="s">
        <v>17</v>
      </c>
      <c r="C318" s="1"/>
      <c r="D318" s="1"/>
      <c r="E318" s="1"/>
      <c r="F318" s="5">
        <v>0.32</v>
      </c>
    </row>
    <row r="319" spans="2:6" x14ac:dyDescent="0.25">
      <c r="B319" s="5" t="s">
        <v>18</v>
      </c>
      <c r="C319" s="1"/>
      <c r="D319" s="1"/>
      <c r="E319" s="1"/>
      <c r="F319" s="5">
        <v>1.97</v>
      </c>
    </row>
    <row r="320" spans="2:6" x14ac:dyDescent="0.25">
      <c r="B320" s="5" t="s">
        <v>19</v>
      </c>
      <c r="C320" s="1"/>
      <c r="D320" s="1"/>
      <c r="E320" s="1"/>
      <c r="F320" s="5">
        <v>3.95</v>
      </c>
    </row>
    <row r="321" spans="2:6" x14ac:dyDescent="0.25">
      <c r="B321" s="10" t="s">
        <v>20</v>
      </c>
      <c r="C321" s="1"/>
      <c r="D321" s="1"/>
      <c r="E321" s="1"/>
      <c r="F321" s="4">
        <f>SUM(F308:F320)</f>
        <v>16.989999999999998</v>
      </c>
    </row>
    <row r="322" spans="2:6" x14ac:dyDescent="0.25">
      <c r="B322" s="3" t="s">
        <v>21</v>
      </c>
      <c r="C322" s="1"/>
      <c r="D322" s="1"/>
      <c r="E322" s="1"/>
      <c r="F322" s="1"/>
    </row>
    <row r="323" spans="2:6" x14ac:dyDescent="0.25">
      <c r="B323" s="1" t="s">
        <v>352</v>
      </c>
      <c r="C323" s="1" t="s">
        <v>261</v>
      </c>
      <c r="D323" s="1">
        <v>53</v>
      </c>
      <c r="E323" s="1">
        <v>45</v>
      </c>
      <c r="F323" s="24">
        <f>E323/1734*1000/12</f>
        <v>2.1626297577854667</v>
      </c>
    </row>
    <row r="324" spans="2:6" x14ac:dyDescent="0.25">
      <c r="B324" s="1" t="s">
        <v>450</v>
      </c>
      <c r="C324" s="1" t="s">
        <v>26</v>
      </c>
      <c r="D324" s="1">
        <v>50</v>
      </c>
      <c r="E324" s="1">
        <v>75</v>
      </c>
      <c r="F324" s="24">
        <f t="shared" ref="F324:F337" si="7">E324/1734*1000/12</f>
        <v>3.6043829296424446</v>
      </c>
    </row>
    <row r="325" spans="2:6" x14ac:dyDescent="0.25">
      <c r="B325" s="1" t="s">
        <v>317</v>
      </c>
      <c r="C325" s="1" t="s">
        <v>256</v>
      </c>
      <c r="D325" s="1">
        <v>1</v>
      </c>
      <c r="E325" s="1">
        <v>45</v>
      </c>
      <c r="F325" s="24">
        <f t="shared" si="7"/>
        <v>2.1626297577854667</v>
      </c>
    </row>
    <row r="326" spans="2:6" x14ac:dyDescent="0.25">
      <c r="B326" s="1" t="s">
        <v>384</v>
      </c>
      <c r="C326" s="1" t="s">
        <v>26</v>
      </c>
      <c r="D326" s="1">
        <v>18</v>
      </c>
      <c r="E326" s="1">
        <v>5.5</v>
      </c>
      <c r="F326" s="24">
        <f t="shared" si="7"/>
        <v>0.26432141484044597</v>
      </c>
    </row>
    <row r="327" spans="2:6" x14ac:dyDescent="0.25">
      <c r="B327" s="1" t="s">
        <v>373</v>
      </c>
      <c r="C327" s="1" t="s">
        <v>368</v>
      </c>
      <c r="D327" s="1">
        <v>1</v>
      </c>
      <c r="E327" s="1">
        <v>25</v>
      </c>
      <c r="F327" s="24">
        <f t="shared" si="7"/>
        <v>1.2014609765474817</v>
      </c>
    </row>
    <row r="328" spans="2:6" x14ac:dyDescent="0.25">
      <c r="B328" s="1" t="s">
        <v>275</v>
      </c>
      <c r="C328" s="1" t="s">
        <v>26</v>
      </c>
      <c r="D328" s="1">
        <v>60</v>
      </c>
      <c r="E328" s="1">
        <v>90</v>
      </c>
      <c r="F328" s="24">
        <f t="shared" si="7"/>
        <v>4.3252595155709335</v>
      </c>
    </row>
    <row r="329" spans="2:6" x14ac:dyDescent="0.25">
      <c r="B329" s="1" t="s">
        <v>318</v>
      </c>
      <c r="C329" s="1" t="s">
        <v>26</v>
      </c>
      <c r="D329" s="1">
        <v>1230</v>
      </c>
      <c r="E329" s="1">
        <v>984</v>
      </c>
      <c r="F329" s="24">
        <f t="shared" si="7"/>
        <v>47.28950403690888</v>
      </c>
    </row>
    <row r="330" spans="2:6" x14ac:dyDescent="0.25">
      <c r="B330" s="1" t="s">
        <v>329</v>
      </c>
      <c r="C330" s="1" t="s">
        <v>26</v>
      </c>
      <c r="D330" s="1">
        <v>40</v>
      </c>
      <c r="E330" s="1">
        <v>48</v>
      </c>
      <c r="F330" s="24">
        <f t="shared" si="7"/>
        <v>2.306805074971165</v>
      </c>
    </row>
    <row r="331" spans="2:6" x14ac:dyDescent="0.25">
      <c r="B331" s="1" t="s">
        <v>390</v>
      </c>
      <c r="C331" s="1" t="s">
        <v>261</v>
      </c>
      <c r="D331" s="1">
        <v>80</v>
      </c>
      <c r="E331" s="1">
        <v>104</v>
      </c>
      <c r="F331" s="24">
        <f t="shared" si="7"/>
        <v>4.9980776624375238</v>
      </c>
    </row>
    <row r="332" spans="2:6" x14ac:dyDescent="0.25">
      <c r="B332" s="1" t="s">
        <v>319</v>
      </c>
      <c r="C332" s="1" t="s">
        <v>261</v>
      </c>
      <c r="D332" s="1">
        <v>50</v>
      </c>
      <c r="E332" s="1">
        <v>65</v>
      </c>
      <c r="F332" s="24">
        <f t="shared" si="7"/>
        <v>3.1237985390234524</v>
      </c>
    </row>
    <row r="333" spans="2:6" x14ac:dyDescent="0.25">
      <c r="B333" s="1" t="s">
        <v>320</v>
      </c>
      <c r="C333" s="1" t="s">
        <v>261</v>
      </c>
      <c r="D333" s="1">
        <v>60</v>
      </c>
      <c r="E333" s="1">
        <v>114</v>
      </c>
      <c r="F333" s="24">
        <f t="shared" si="7"/>
        <v>5.4786620530565164</v>
      </c>
    </row>
    <row r="334" spans="2:6" x14ac:dyDescent="0.25">
      <c r="B334" s="1" t="s">
        <v>325</v>
      </c>
      <c r="C334" s="1" t="s">
        <v>261</v>
      </c>
      <c r="D334" s="1">
        <v>80</v>
      </c>
      <c r="E334" s="1">
        <v>152</v>
      </c>
      <c r="F334" s="24">
        <f t="shared" si="7"/>
        <v>7.3048827374086898</v>
      </c>
    </row>
    <row r="335" spans="2:6" x14ac:dyDescent="0.25">
      <c r="B335" s="1" t="s">
        <v>321</v>
      </c>
      <c r="C335" s="1" t="s">
        <v>256</v>
      </c>
      <c r="D335" s="1">
        <v>3</v>
      </c>
      <c r="E335" s="1">
        <v>240</v>
      </c>
      <c r="F335" s="24">
        <f t="shared" si="7"/>
        <v>11.534025374855824</v>
      </c>
    </row>
    <row r="336" spans="2:6" x14ac:dyDescent="0.25">
      <c r="B336" s="1" t="s">
        <v>372</v>
      </c>
      <c r="C336" s="1" t="s">
        <v>261</v>
      </c>
      <c r="D336" s="1">
        <v>140</v>
      </c>
      <c r="E336" s="1">
        <v>168</v>
      </c>
      <c r="F336" s="24">
        <f t="shared" si="7"/>
        <v>8.0738177623990772</v>
      </c>
    </row>
    <row r="337" spans="2:6" x14ac:dyDescent="0.25">
      <c r="B337" s="1" t="s">
        <v>323</v>
      </c>
      <c r="C337" s="1" t="s">
        <v>261</v>
      </c>
      <c r="D337" s="1">
        <v>200</v>
      </c>
      <c r="E337" s="1">
        <v>200</v>
      </c>
      <c r="F337" s="24">
        <f t="shared" si="7"/>
        <v>9.6116878123798539</v>
      </c>
    </row>
    <row r="338" spans="2:6" x14ac:dyDescent="0.25">
      <c r="B338" s="10" t="s">
        <v>20</v>
      </c>
      <c r="C338" s="1"/>
      <c r="D338" s="1"/>
      <c r="E338" s="4">
        <f>SUM(E323:E337)</f>
        <v>2360.5</v>
      </c>
      <c r="F338" s="22">
        <f>SUM(F323:F337)</f>
        <v>113.44194540561323</v>
      </c>
    </row>
    <row r="339" spans="2:6" x14ac:dyDescent="0.25">
      <c r="B339" s="4" t="s">
        <v>22</v>
      </c>
      <c r="C339" s="6"/>
      <c r="D339" s="6"/>
      <c r="E339" s="6"/>
      <c r="F339" s="23">
        <f>F321+F338</f>
        <v>130.43194540561322</v>
      </c>
    </row>
    <row r="340" spans="2:6" x14ac:dyDescent="0.25">
      <c r="B340" s="7"/>
      <c r="C340" s="7"/>
      <c r="D340" s="7"/>
      <c r="E340" s="7"/>
      <c r="F340" s="7"/>
    </row>
    <row r="341" spans="2:6" x14ac:dyDescent="0.25">
      <c r="B341" s="13"/>
      <c r="C341" s="13"/>
      <c r="D341" s="13"/>
      <c r="E341" s="13"/>
      <c r="F341" s="13"/>
    </row>
    <row r="342" spans="2:6" x14ac:dyDescent="0.25">
      <c r="B342" s="13"/>
      <c r="C342" s="13"/>
      <c r="D342" s="13"/>
      <c r="E342" s="13"/>
      <c r="F342" s="13"/>
    </row>
    <row r="343" spans="2:6" x14ac:dyDescent="0.25">
      <c r="B343" s="39" t="s">
        <v>23</v>
      </c>
      <c r="C343" s="38"/>
      <c r="D343" s="38"/>
      <c r="E343" s="39" t="s">
        <v>24</v>
      </c>
      <c r="F343" s="38"/>
    </row>
  </sheetData>
  <mergeCells count="40">
    <mergeCell ref="B91:F91"/>
    <mergeCell ref="B1:F1"/>
    <mergeCell ref="B2:F2"/>
    <mergeCell ref="C4:D4"/>
    <mergeCell ref="B44:D44"/>
    <mergeCell ref="E44:F44"/>
    <mergeCell ref="B46:F46"/>
    <mergeCell ref="B47:F47"/>
    <mergeCell ref="C49:D49"/>
    <mergeCell ref="B88:D88"/>
    <mergeCell ref="E88:F88"/>
    <mergeCell ref="B90:F90"/>
    <mergeCell ref="B213:D213"/>
    <mergeCell ref="E213:F213"/>
    <mergeCell ref="C93:D93"/>
    <mergeCell ref="B130:D130"/>
    <mergeCell ref="E130:F130"/>
    <mergeCell ref="B132:F132"/>
    <mergeCell ref="B133:F133"/>
    <mergeCell ref="C135:D135"/>
    <mergeCell ref="B171:D171"/>
    <mergeCell ref="E171:F171"/>
    <mergeCell ref="B173:F173"/>
    <mergeCell ref="B174:F174"/>
    <mergeCell ref="C176:D176"/>
    <mergeCell ref="B298:D298"/>
    <mergeCell ref="E298:F298"/>
    <mergeCell ref="B216:F216"/>
    <mergeCell ref="B217:F217"/>
    <mergeCell ref="C219:D219"/>
    <mergeCell ref="B256:D256"/>
    <mergeCell ref="E256:F256"/>
    <mergeCell ref="B258:F258"/>
    <mergeCell ref="B259:F259"/>
    <mergeCell ref="C261:D261"/>
    <mergeCell ref="B300:F300"/>
    <mergeCell ref="B301:F301"/>
    <mergeCell ref="C303:D303"/>
    <mergeCell ref="B343:D343"/>
    <mergeCell ref="E343:F34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23"/>
  <sheetViews>
    <sheetView topLeftCell="A1216" workbookViewId="0">
      <selection activeCell="F990" sqref="F990"/>
    </sheetView>
  </sheetViews>
  <sheetFormatPr defaultRowHeight="15" x14ac:dyDescent="0.25"/>
  <cols>
    <col min="2" max="2" width="41.5703125" customWidth="1"/>
    <col min="6" max="6" width="11.42578125" bestFit="1" customWidth="1"/>
  </cols>
  <sheetData>
    <row r="1" spans="2:6" ht="34.15" customHeight="1" x14ac:dyDescent="0.25">
      <c r="B1" s="37" t="s">
        <v>76</v>
      </c>
      <c r="C1" s="37"/>
      <c r="D1" s="37"/>
      <c r="E1" s="37"/>
      <c r="F1" s="37"/>
    </row>
    <row r="2" spans="2:6" ht="28.15" customHeight="1" x14ac:dyDescent="0.25">
      <c r="B2" s="37" t="s">
        <v>1</v>
      </c>
      <c r="C2" s="37"/>
      <c r="D2" s="37"/>
      <c r="E2" s="37"/>
      <c r="F2" s="37"/>
    </row>
    <row r="3" spans="2:6" x14ac:dyDescent="0.25">
      <c r="B3" s="14" t="s">
        <v>0</v>
      </c>
      <c r="C3" s="14"/>
      <c r="D3" s="14"/>
      <c r="E3" s="14"/>
      <c r="F3" s="14"/>
    </row>
    <row r="4" spans="2:6" ht="15" customHeight="1" x14ac:dyDescent="0.25">
      <c r="B4" s="12"/>
      <c r="C4" s="38" t="s">
        <v>25</v>
      </c>
      <c r="D4" s="38"/>
      <c r="E4" s="12">
        <v>1426</v>
      </c>
      <c r="F4" s="12" t="s">
        <v>26</v>
      </c>
    </row>
    <row r="6" spans="2:6" ht="60" x14ac:dyDescent="0.25">
      <c r="B6" s="1" t="s">
        <v>2</v>
      </c>
      <c r="C6" s="1" t="s">
        <v>4</v>
      </c>
      <c r="D6" s="1" t="s">
        <v>3</v>
      </c>
      <c r="E6" s="1" t="s">
        <v>447</v>
      </c>
      <c r="F6" s="1" t="s">
        <v>5</v>
      </c>
    </row>
    <row r="7" spans="2:6" x14ac:dyDescent="0.25">
      <c r="B7" s="1"/>
      <c r="C7" s="1"/>
      <c r="D7" s="1"/>
      <c r="E7" s="1"/>
      <c r="F7" s="1"/>
    </row>
    <row r="8" spans="2:6" x14ac:dyDescent="0.25">
      <c r="B8" s="3" t="s">
        <v>6</v>
      </c>
      <c r="C8" s="1"/>
      <c r="D8" s="1"/>
      <c r="E8" s="1"/>
      <c r="F8" s="1"/>
    </row>
    <row r="9" spans="2:6" x14ac:dyDescent="0.25">
      <c r="B9" s="5" t="s">
        <v>7</v>
      </c>
      <c r="C9" s="1"/>
      <c r="D9" s="1"/>
      <c r="E9" s="1"/>
      <c r="F9" s="5">
        <v>2.0099999999999998</v>
      </c>
    </row>
    <row r="10" spans="2:6" x14ac:dyDescent="0.25">
      <c r="B10" s="5" t="s">
        <v>8</v>
      </c>
      <c r="C10" s="1"/>
      <c r="D10" s="1"/>
      <c r="E10" s="1"/>
      <c r="F10" s="5">
        <v>5.34</v>
      </c>
    </row>
    <row r="11" spans="2:6" ht="24.75" x14ac:dyDescent="0.25">
      <c r="B11" s="5" t="s">
        <v>11</v>
      </c>
      <c r="C11" s="1"/>
      <c r="D11" s="1"/>
      <c r="E11" s="1"/>
      <c r="F11" s="5">
        <v>0.55000000000000004</v>
      </c>
    </row>
    <row r="12" spans="2:6" ht="24.75" x14ac:dyDescent="0.25">
      <c r="B12" s="5" t="s">
        <v>12</v>
      </c>
      <c r="C12" s="1"/>
      <c r="D12" s="1"/>
      <c r="E12" s="1"/>
      <c r="F12" s="5">
        <v>0.53</v>
      </c>
    </row>
    <row r="13" spans="2:6" ht="24.75" x14ac:dyDescent="0.25">
      <c r="B13" s="5" t="s">
        <v>13</v>
      </c>
      <c r="C13" s="1"/>
      <c r="D13" s="1"/>
      <c r="E13" s="1"/>
      <c r="F13" s="5">
        <v>0.19</v>
      </c>
    </row>
    <row r="14" spans="2:6" ht="24.75" x14ac:dyDescent="0.25">
      <c r="B14" s="5" t="s">
        <v>14</v>
      </c>
      <c r="C14" s="1"/>
      <c r="D14" s="1"/>
      <c r="E14" s="1"/>
      <c r="F14" s="5">
        <v>1.25</v>
      </c>
    </row>
    <row r="15" spans="2:6" ht="24.75" x14ac:dyDescent="0.25">
      <c r="B15" s="5" t="s">
        <v>9</v>
      </c>
      <c r="C15" s="1"/>
      <c r="D15" s="1"/>
      <c r="E15" s="1"/>
      <c r="F15" s="5">
        <v>0.26</v>
      </c>
    </row>
    <row r="16" spans="2:6" ht="24.75" x14ac:dyDescent="0.25">
      <c r="B16" s="5" t="s">
        <v>15</v>
      </c>
      <c r="C16" s="1"/>
      <c r="D16" s="1"/>
      <c r="E16" s="1"/>
      <c r="F16" s="5">
        <v>0.27</v>
      </c>
    </row>
    <row r="17" spans="2:6" ht="24.75" x14ac:dyDescent="0.25">
      <c r="B17" s="5" t="s">
        <v>16</v>
      </c>
      <c r="C17" s="1"/>
      <c r="D17" s="1"/>
      <c r="E17" s="1"/>
      <c r="F17" s="5">
        <v>0.28999999999999998</v>
      </c>
    </row>
    <row r="18" spans="2:6" x14ac:dyDescent="0.25">
      <c r="B18" s="5" t="s">
        <v>17</v>
      </c>
      <c r="C18" s="1"/>
      <c r="D18" s="1"/>
      <c r="E18" s="1"/>
      <c r="F18" s="5">
        <v>0.32</v>
      </c>
    </row>
    <row r="19" spans="2:6" x14ac:dyDescent="0.25">
      <c r="B19" s="5" t="s">
        <v>18</v>
      </c>
      <c r="C19" s="1"/>
      <c r="D19" s="1"/>
      <c r="E19" s="1"/>
      <c r="F19" s="5">
        <v>1.97</v>
      </c>
    </row>
    <row r="20" spans="2:6" x14ac:dyDescent="0.25">
      <c r="B20" s="5" t="s">
        <v>19</v>
      </c>
      <c r="C20" s="1"/>
      <c r="D20" s="1"/>
      <c r="E20" s="1"/>
      <c r="F20" s="5">
        <v>3.95</v>
      </c>
    </row>
    <row r="21" spans="2:6" x14ac:dyDescent="0.25">
      <c r="B21" s="10" t="s">
        <v>20</v>
      </c>
      <c r="C21" s="1"/>
      <c r="D21" s="1"/>
      <c r="E21" s="1"/>
      <c r="F21" s="4">
        <f>SUM(F9:F20)</f>
        <v>16.93</v>
      </c>
    </row>
    <row r="22" spans="2:6" x14ac:dyDescent="0.25">
      <c r="B22" s="3" t="s">
        <v>21</v>
      </c>
      <c r="C22" s="1"/>
      <c r="D22" s="1"/>
      <c r="E22" s="1"/>
      <c r="F22" s="1"/>
    </row>
    <row r="23" spans="2:6" x14ac:dyDescent="0.25">
      <c r="B23" s="1" t="s">
        <v>335</v>
      </c>
      <c r="C23" s="1" t="s">
        <v>26</v>
      </c>
      <c r="D23" s="1">
        <v>20</v>
      </c>
      <c r="E23" s="1">
        <v>12</v>
      </c>
      <c r="F23" s="24">
        <f>E23/1426*1000/12</f>
        <v>0.70126227208976155</v>
      </c>
    </row>
    <row r="24" spans="2:6" x14ac:dyDescent="0.25">
      <c r="B24" s="1" t="s">
        <v>339</v>
      </c>
      <c r="C24" s="1" t="s">
        <v>26</v>
      </c>
      <c r="D24" s="1">
        <v>2</v>
      </c>
      <c r="E24" s="1">
        <v>5.5</v>
      </c>
      <c r="F24" s="24">
        <f t="shared" ref="F24:F28" si="0">E24/1426*1000/12</f>
        <v>0.32141187470780735</v>
      </c>
    </row>
    <row r="25" spans="2:6" x14ac:dyDescent="0.25">
      <c r="B25" s="1" t="s">
        <v>322</v>
      </c>
      <c r="C25" s="1" t="s">
        <v>261</v>
      </c>
      <c r="D25" s="1">
        <v>250</v>
      </c>
      <c r="E25" s="1">
        <v>300</v>
      </c>
      <c r="F25" s="24">
        <f t="shared" si="0"/>
        <v>17.531556802244037</v>
      </c>
    </row>
    <row r="26" spans="2:6" x14ac:dyDescent="0.25">
      <c r="B26" s="1" t="s">
        <v>323</v>
      </c>
      <c r="C26" s="1" t="s">
        <v>261</v>
      </c>
      <c r="D26" s="1">
        <v>800</v>
      </c>
      <c r="E26" s="1">
        <v>800</v>
      </c>
      <c r="F26" s="24">
        <f t="shared" si="0"/>
        <v>46.750818139317438</v>
      </c>
    </row>
    <row r="27" spans="2:6" x14ac:dyDescent="0.25">
      <c r="B27" s="1" t="s">
        <v>275</v>
      </c>
      <c r="C27" s="1" t="s">
        <v>26</v>
      </c>
      <c r="D27" s="1">
        <v>88</v>
      </c>
      <c r="E27" s="1">
        <v>132</v>
      </c>
      <c r="F27" s="24">
        <f t="shared" si="0"/>
        <v>7.713884992987377</v>
      </c>
    </row>
    <row r="28" spans="2:6" x14ac:dyDescent="0.25">
      <c r="B28" s="1" t="s">
        <v>330</v>
      </c>
      <c r="C28" s="1" t="s">
        <v>261</v>
      </c>
      <c r="D28" s="1">
        <v>100</v>
      </c>
      <c r="E28" s="1">
        <v>190</v>
      </c>
      <c r="F28" s="24">
        <f t="shared" si="0"/>
        <v>11.10331930808789</v>
      </c>
    </row>
    <row r="29" spans="2:6" x14ac:dyDescent="0.25">
      <c r="B29" s="1"/>
      <c r="C29" s="1"/>
      <c r="D29" s="1"/>
      <c r="E29" s="1"/>
      <c r="F29" s="24"/>
    </row>
    <row r="30" spans="2:6" x14ac:dyDescent="0.25">
      <c r="B30" s="1"/>
      <c r="C30" s="1"/>
      <c r="D30" s="1"/>
      <c r="E30" s="1"/>
      <c r="F30" s="24"/>
    </row>
    <row r="31" spans="2:6" x14ac:dyDescent="0.25">
      <c r="B31" s="1"/>
      <c r="C31" s="1"/>
      <c r="D31" s="1"/>
      <c r="E31" s="1"/>
      <c r="F31" s="24"/>
    </row>
    <row r="32" spans="2:6" x14ac:dyDescent="0.25">
      <c r="B32" s="1"/>
      <c r="C32" s="1"/>
      <c r="D32" s="1"/>
      <c r="E32" s="1"/>
      <c r="F32" s="24"/>
    </row>
    <row r="33" spans="2:6" x14ac:dyDescent="0.25">
      <c r="B33" s="1"/>
      <c r="C33" s="1"/>
      <c r="D33" s="1"/>
      <c r="E33" s="1"/>
      <c r="F33" s="24"/>
    </row>
    <row r="34" spans="2:6" x14ac:dyDescent="0.25">
      <c r="B34" s="1"/>
      <c r="C34" s="1"/>
      <c r="D34" s="1"/>
      <c r="E34" s="1"/>
      <c r="F34" s="24"/>
    </row>
    <row r="35" spans="2:6" x14ac:dyDescent="0.25">
      <c r="B35" s="1"/>
      <c r="C35" s="1"/>
      <c r="D35" s="1"/>
      <c r="E35" s="1"/>
      <c r="F35" s="24"/>
    </row>
    <row r="36" spans="2:6" x14ac:dyDescent="0.25">
      <c r="B36" s="10" t="s">
        <v>20</v>
      </c>
      <c r="C36" s="1"/>
      <c r="D36" s="1"/>
      <c r="E36" s="4">
        <f>SUM(E23:E35)</f>
        <v>1439.5</v>
      </c>
      <c r="F36" s="22">
        <f>SUM(F23:F35)</f>
        <v>84.122253389434306</v>
      </c>
    </row>
    <row r="37" spans="2:6" x14ac:dyDescent="0.25">
      <c r="B37" s="4" t="s">
        <v>22</v>
      </c>
      <c r="C37" s="6"/>
      <c r="D37" s="6"/>
      <c r="E37" s="6"/>
      <c r="F37" s="23">
        <f>F21+F36</f>
        <v>101.0522533894343</v>
      </c>
    </row>
    <row r="38" spans="2:6" x14ac:dyDescent="0.25">
      <c r="B38" s="7"/>
      <c r="C38" s="7"/>
      <c r="D38" s="7"/>
      <c r="E38" s="7"/>
      <c r="F38" s="7"/>
    </row>
    <row r="39" spans="2:6" x14ac:dyDescent="0.25">
      <c r="B39" s="13"/>
      <c r="C39" s="13"/>
      <c r="D39" s="13"/>
      <c r="E39" s="13"/>
      <c r="F39" s="13"/>
    </row>
    <row r="40" spans="2:6" x14ac:dyDescent="0.25">
      <c r="B40" s="13"/>
      <c r="C40" s="13"/>
      <c r="D40" s="13"/>
      <c r="E40" s="13"/>
      <c r="F40" s="13"/>
    </row>
    <row r="41" spans="2:6" ht="15" customHeight="1" x14ac:dyDescent="0.25">
      <c r="B41" s="39" t="s">
        <v>23</v>
      </c>
      <c r="C41" s="39"/>
      <c r="D41" s="39"/>
      <c r="E41" s="39" t="s">
        <v>24</v>
      </c>
      <c r="F41" s="39"/>
    </row>
    <row r="43" spans="2:6" ht="39.6" customHeight="1" x14ac:dyDescent="0.25">
      <c r="B43" s="37" t="s">
        <v>77</v>
      </c>
      <c r="C43" s="37"/>
      <c r="D43" s="37"/>
      <c r="E43" s="37"/>
      <c r="F43" s="37"/>
    </row>
    <row r="44" spans="2:6" ht="30" customHeight="1" x14ac:dyDescent="0.25">
      <c r="B44" s="37" t="s">
        <v>1</v>
      </c>
      <c r="C44" s="37"/>
      <c r="D44" s="37"/>
      <c r="E44" s="37"/>
      <c r="F44" s="37"/>
    </row>
    <row r="45" spans="2:6" x14ac:dyDescent="0.25">
      <c r="B45" s="14" t="s">
        <v>0</v>
      </c>
      <c r="C45" s="14"/>
      <c r="D45" s="14"/>
      <c r="E45" s="14"/>
      <c r="F45" s="14"/>
    </row>
    <row r="46" spans="2:6" ht="15" customHeight="1" x14ac:dyDescent="0.25">
      <c r="B46" s="12"/>
      <c r="C46" s="38" t="s">
        <v>25</v>
      </c>
      <c r="D46" s="38"/>
      <c r="E46" s="12">
        <v>2104.6</v>
      </c>
      <c r="F46" s="12" t="s">
        <v>26</v>
      </c>
    </row>
    <row r="48" spans="2:6" ht="60" x14ac:dyDescent="0.25">
      <c r="B48" s="1" t="s">
        <v>2</v>
      </c>
      <c r="C48" s="1" t="s">
        <v>4</v>
      </c>
      <c r="D48" s="1" t="s">
        <v>3</v>
      </c>
      <c r="E48" s="1" t="s">
        <v>447</v>
      </c>
      <c r="F48" s="1" t="s">
        <v>5</v>
      </c>
    </row>
    <row r="49" spans="2:6" x14ac:dyDescent="0.25">
      <c r="B49" s="1"/>
      <c r="C49" s="1"/>
      <c r="D49" s="1"/>
      <c r="E49" s="1"/>
      <c r="F49" s="1"/>
    </row>
    <row r="50" spans="2:6" x14ac:dyDescent="0.25">
      <c r="B50" s="3" t="s">
        <v>6</v>
      </c>
      <c r="C50" s="1"/>
      <c r="D50" s="1"/>
      <c r="E50" s="1"/>
      <c r="F50" s="1"/>
    </row>
    <row r="51" spans="2:6" x14ac:dyDescent="0.25">
      <c r="B51" s="5" t="s">
        <v>7</v>
      </c>
      <c r="C51" s="1"/>
      <c r="D51" s="1"/>
      <c r="E51" s="1"/>
      <c r="F51" s="5">
        <v>2.0099999999999998</v>
      </c>
    </row>
    <row r="52" spans="2:6" x14ac:dyDescent="0.25">
      <c r="B52" s="5" t="s">
        <v>8</v>
      </c>
      <c r="C52" s="1"/>
      <c r="D52" s="1"/>
      <c r="E52" s="1"/>
      <c r="F52" s="5">
        <v>5.34</v>
      </c>
    </row>
    <row r="53" spans="2:6" ht="24.75" x14ac:dyDescent="0.25">
      <c r="B53" s="5" t="s">
        <v>11</v>
      </c>
      <c r="C53" s="1"/>
      <c r="D53" s="1"/>
      <c r="E53" s="1"/>
      <c r="F53" s="5">
        <v>0.55000000000000004</v>
      </c>
    </row>
    <row r="54" spans="2:6" ht="24.75" x14ac:dyDescent="0.25">
      <c r="B54" s="5" t="s">
        <v>12</v>
      </c>
      <c r="C54" s="1"/>
      <c r="D54" s="1"/>
      <c r="E54" s="1"/>
      <c r="F54" s="5">
        <v>0.53</v>
      </c>
    </row>
    <row r="55" spans="2:6" ht="24.75" x14ac:dyDescent="0.25">
      <c r="B55" s="5" t="s">
        <v>13</v>
      </c>
      <c r="C55" s="1"/>
      <c r="D55" s="1"/>
      <c r="E55" s="1"/>
      <c r="F55" s="5">
        <v>0.19</v>
      </c>
    </row>
    <row r="56" spans="2:6" ht="24.75" x14ac:dyDescent="0.25">
      <c r="B56" s="5" t="s">
        <v>14</v>
      </c>
      <c r="C56" s="1"/>
      <c r="D56" s="1"/>
      <c r="E56" s="1"/>
      <c r="F56" s="5">
        <v>1.25</v>
      </c>
    </row>
    <row r="57" spans="2:6" ht="24.75" x14ac:dyDescent="0.25">
      <c r="B57" s="5" t="s">
        <v>9</v>
      </c>
      <c r="C57" s="1"/>
      <c r="D57" s="1"/>
      <c r="E57" s="1"/>
      <c r="F57" s="5">
        <v>0.26</v>
      </c>
    </row>
    <row r="58" spans="2:6" ht="24.75" x14ac:dyDescent="0.25">
      <c r="B58" s="5" t="s">
        <v>15</v>
      </c>
      <c r="C58" s="1"/>
      <c r="D58" s="1"/>
      <c r="E58" s="1"/>
      <c r="F58" s="5">
        <v>0.27</v>
      </c>
    </row>
    <row r="59" spans="2:6" ht="24.75" x14ac:dyDescent="0.25">
      <c r="B59" s="5" t="s">
        <v>16</v>
      </c>
      <c r="C59" s="1"/>
      <c r="D59" s="1"/>
      <c r="E59" s="1"/>
      <c r="F59" s="5">
        <v>0.28999999999999998</v>
      </c>
    </row>
    <row r="60" spans="2:6" x14ac:dyDescent="0.25">
      <c r="B60" s="5" t="s">
        <v>17</v>
      </c>
      <c r="C60" s="1"/>
      <c r="D60" s="1"/>
      <c r="E60" s="1"/>
      <c r="F60" s="5">
        <v>0.32</v>
      </c>
    </row>
    <row r="61" spans="2:6" x14ac:dyDescent="0.25">
      <c r="B61" s="5" t="s">
        <v>18</v>
      </c>
      <c r="C61" s="1"/>
      <c r="D61" s="1"/>
      <c r="E61" s="1"/>
      <c r="F61" s="5">
        <v>1.97</v>
      </c>
    </row>
    <row r="62" spans="2:6" x14ac:dyDescent="0.25">
      <c r="B62" s="5" t="s">
        <v>19</v>
      </c>
      <c r="C62" s="1"/>
      <c r="D62" s="1"/>
      <c r="E62" s="1"/>
      <c r="F62" s="5">
        <v>3.95</v>
      </c>
    </row>
    <row r="63" spans="2:6" x14ac:dyDescent="0.25">
      <c r="B63" s="10" t="s">
        <v>20</v>
      </c>
      <c r="C63" s="1"/>
      <c r="D63" s="1"/>
      <c r="E63" s="1"/>
      <c r="F63" s="4">
        <f>SUM(F51:F62)</f>
        <v>16.93</v>
      </c>
    </row>
    <row r="64" spans="2:6" x14ac:dyDescent="0.25">
      <c r="B64" s="3" t="s">
        <v>21</v>
      </c>
      <c r="C64" s="1"/>
      <c r="D64" s="1"/>
      <c r="E64" s="1"/>
      <c r="F64" s="1"/>
    </row>
    <row r="65" spans="2:6" x14ac:dyDescent="0.25">
      <c r="B65" s="1" t="s">
        <v>317</v>
      </c>
      <c r="C65" s="1" t="s">
        <v>256</v>
      </c>
      <c r="D65" s="1">
        <v>1</v>
      </c>
      <c r="E65" s="1">
        <v>45</v>
      </c>
      <c r="F65" s="24">
        <f>E65/2104.6*1000/12</f>
        <v>1.7818112705502234</v>
      </c>
    </row>
    <row r="66" spans="2:6" x14ac:dyDescent="0.25">
      <c r="B66" s="1" t="s">
        <v>326</v>
      </c>
      <c r="C66" s="1" t="s">
        <v>26</v>
      </c>
      <c r="D66" s="1">
        <v>363</v>
      </c>
      <c r="E66" s="1">
        <v>544.5</v>
      </c>
      <c r="F66" s="24">
        <f t="shared" ref="F66:F77" si="1">E66/2104.6*1000/12</f>
        <v>21.559916373657703</v>
      </c>
    </row>
    <row r="67" spans="2:6" x14ac:dyDescent="0.25">
      <c r="B67" s="1" t="s">
        <v>393</v>
      </c>
      <c r="C67" s="1" t="s">
        <v>261</v>
      </c>
      <c r="D67" s="1">
        <v>156</v>
      </c>
      <c r="E67" s="1">
        <v>133</v>
      </c>
      <c r="F67" s="24">
        <f t="shared" si="1"/>
        <v>5.2662421996262152</v>
      </c>
    </row>
    <row r="68" spans="2:6" x14ac:dyDescent="0.25">
      <c r="B68" s="1" t="s">
        <v>394</v>
      </c>
      <c r="C68" s="1" t="s">
        <v>265</v>
      </c>
      <c r="D68" s="1">
        <v>20</v>
      </c>
      <c r="E68" s="1">
        <v>14</v>
      </c>
      <c r="F68" s="24">
        <f t="shared" si="1"/>
        <v>0.55434128417118056</v>
      </c>
    </row>
    <row r="69" spans="2:6" x14ac:dyDescent="0.25">
      <c r="B69" s="1" t="s">
        <v>275</v>
      </c>
      <c r="C69" s="1" t="s">
        <v>26</v>
      </c>
      <c r="D69" s="1">
        <v>110</v>
      </c>
      <c r="E69" s="1">
        <v>165</v>
      </c>
      <c r="F69" s="24">
        <f t="shared" si="1"/>
        <v>6.5333079920174848</v>
      </c>
    </row>
    <row r="70" spans="2:6" x14ac:dyDescent="0.25">
      <c r="B70" s="1" t="s">
        <v>451</v>
      </c>
      <c r="C70" s="1" t="s">
        <v>26</v>
      </c>
      <c r="D70" s="1">
        <v>60</v>
      </c>
      <c r="E70" s="1">
        <v>90</v>
      </c>
      <c r="F70" s="24">
        <f t="shared" si="1"/>
        <v>3.5636225411004467</v>
      </c>
    </row>
    <row r="71" spans="2:6" x14ac:dyDescent="0.25">
      <c r="B71" s="1" t="s">
        <v>322</v>
      </c>
      <c r="C71" s="1" t="s">
        <v>261</v>
      </c>
      <c r="D71" s="1">
        <v>280</v>
      </c>
      <c r="E71" s="1">
        <v>336</v>
      </c>
      <c r="F71" s="24">
        <f t="shared" si="1"/>
        <v>13.304190820108333</v>
      </c>
    </row>
    <row r="72" spans="2:6" x14ac:dyDescent="0.25">
      <c r="B72" s="1" t="s">
        <v>323</v>
      </c>
      <c r="C72" s="1" t="s">
        <v>261</v>
      </c>
      <c r="D72" s="1">
        <v>950</v>
      </c>
      <c r="E72" s="1">
        <v>950</v>
      </c>
      <c r="F72" s="24">
        <f t="shared" si="1"/>
        <v>37.61601571161583</v>
      </c>
    </row>
    <row r="73" spans="2:6" x14ac:dyDescent="0.25">
      <c r="B73" s="1"/>
      <c r="C73" s="1"/>
      <c r="D73" s="1"/>
      <c r="E73" s="1"/>
      <c r="F73" s="24">
        <f t="shared" si="1"/>
        <v>0</v>
      </c>
    </row>
    <row r="74" spans="2:6" x14ac:dyDescent="0.25">
      <c r="B74" s="1"/>
      <c r="C74" s="1"/>
      <c r="D74" s="1"/>
      <c r="E74" s="1"/>
      <c r="F74" s="24">
        <f t="shared" si="1"/>
        <v>0</v>
      </c>
    </row>
    <row r="75" spans="2:6" x14ac:dyDescent="0.25">
      <c r="B75" s="1"/>
      <c r="C75" s="1"/>
      <c r="D75" s="1"/>
      <c r="E75" s="1"/>
      <c r="F75" s="24">
        <f t="shared" si="1"/>
        <v>0</v>
      </c>
    </row>
    <row r="76" spans="2:6" x14ac:dyDescent="0.25">
      <c r="B76" s="1"/>
      <c r="C76" s="1"/>
      <c r="D76" s="1"/>
      <c r="E76" s="1"/>
      <c r="F76" s="24">
        <f t="shared" si="1"/>
        <v>0</v>
      </c>
    </row>
    <row r="77" spans="2:6" x14ac:dyDescent="0.25">
      <c r="B77" s="1"/>
      <c r="C77" s="1"/>
      <c r="D77" s="1"/>
      <c r="E77" s="1"/>
      <c r="F77" s="24">
        <f t="shared" si="1"/>
        <v>0</v>
      </c>
    </row>
    <row r="78" spans="2:6" x14ac:dyDescent="0.25">
      <c r="B78" s="10" t="s">
        <v>20</v>
      </c>
      <c r="C78" s="1"/>
      <c r="D78" s="1"/>
      <c r="E78" s="4">
        <f>SUM(E65:E77)</f>
        <v>2277.5</v>
      </c>
      <c r="F78" s="22">
        <f>SUM(F65:F77)</f>
        <v>90.179448192847417</v>
      </c>
    </row>
    <row r="79" spans="2:6" x14ac:dyDescent="0.25">
      <c r="B79" s="4" t="s">
        <v>22</v>
      </c>
      <c r="C79" s="6"/>
      <c r="D79" s="6"/>
      <c r="E79" s="6"/>
      <c r="F79" s="23">
        <f>F63+F78</f>
        <v>107.10944819284742</v>
      </c>
    </row>
    <row r="80" spans="2:6" x14ac:dyDescent="0.25">
      <c r="B80" s="7"/>
      <c r="C80" s="7"/>
      <c r="D80" s="7"/>
      <c r="E80" s="7"/>
      <c r="F80" s="7"/>
    </row>
    <row r="81" spans="2:6" x14ac:dyDescent="0.25">
      <c r="B81" s="13"/>
      <c r="C81" s="13"/>
      <c r="D81" s="13"/>
      <c r="E81" s="13"/>
      <c r="F81" s="13"/>
    </row>
    <row r="82" spans="2:6" x14ac:dyDescent="0.25">
      <c r="B82" s="13"/>
      <c r="C82" s="13"/>
      <c r="D82" s="13"/>
      <c r="E82" s="13"/>
      <c r="F82" s="13"/>
    </row>
    <row r="83" spans="2:6" ht="15" customHeight="1" x14ac:dyDescent="0.25">
      <c r="B83" s="39" t="s">
        <v>23</v>
      </c>
      <c r="C83" s="39"/>
      <c r="D83" s="39"/>
      <c r="E83" s="39" t="s">
        <v>24</v>
      </c>
      <c r="F83" s="39"/>
    </row>
    <row r="84" spans="2:6" ht="29.45" customHeight="1" x14ac:dyDescent="0.25">
      <c r="B84" s="37" t="s">
        <v>78</v>
      </c>
      <c r="C84" s="37"/>
      <c r="D84" s="37"/>
      <c r="E84" s="37"/>
      <c r="F84" s="37"/>
    </row>
    <row r="85" spans="2:6" ht="34.15" customHeight="1" x14ac:dyDescent="0.25">
      <c r="B85" s="37" t="s">
        <v>1</v>
      </c>
      <c r="C85" s="37"/>
      <c r="D85" s="37"/>
      <c r="E85" s="37"/>
      <c r="F85" s="37"/>
    </row>
    <row r="86" spans="2:6" x14ac:dyDescent="0.25">
      <c r="B86" s="14" t="s">
        <v>0</v>
      </c>
      <c r="C86" s="14"/>
      <c r="D86" s="14"/>
      <c r="E86" s="14"/>
      <c r="F86" s="14"/>
    </row>
    <row r="87" spans="2:6" ht="15" customHeight="1" x14ac:dyDescent="0.25">
      <c r="B87" s="12"/>
      <c r="C87" s="38" t="s">
        <v>25</v>
      </c>
      <c r="D87" s="38"/>
      <c r="E87" s="12">
        <v>1500.8</v>
      </c>
      <c r="F87" s="12" t="s">
        <v>26</v>
      </c>
    </row>
    <row r="89" spans="2:6" ht="60" x14ac:dyDescent="0.25">
      <c r="B89" s="1" t="s">
        <v>2</v>
      </c>
      <c r="C89" s="1" t="s">
        <v>4</v>
      </c>
      <c r="D89" s="1" t="s">
        <v>3</v>
      </c>
      <c r="E89" s="1" t="s">
        <v>447</v>
      </c>
      <c r="F89" s="1" t="s">
        <v>5</v>
      </c>
    </row>
    <row r="90" spans="2:6" x14ac:dyDescent="0.25">
      <c r="B90" s="1"/>
      <c r="C90" s="1"/>
      <c r="D90" s="1"/>
      <c r="E90" s="1"/>
      <c r="F90" s="1"/>
    </row>
    <row r="91" spans="2:6" x14ac:dyDescent="0.25">
      <c r="B91" s="3" t="s">
        <v>6</v>
      </c>
      <c r="C91" s="1"/>
      <c r="D91" s="1"/>
      <c r="E91" s="1"/>
      <c r="F91" s="1"/>
    </row>
    <row r="92" spans="2:6" x14ac:dyDescent="0.25">
      <c r="B92" s="5" t="s">
        <v>7</v>
      </c>
      <c r="C92" s="1"/>
      <c r="D92" s="1"/>
      <c r="E92" s="1"/>
      <c r="F92" s="5">
        <v>2.0099999999999998</v>
      </c>
    </row>
    <row r="93" spans="2:6" x14ac:dyDescent="0.25">
      <c r="B93" s="5" t="s">
        <v>8</v>
      </c>
      <c r="C93" s="1"/>
      <c r="D93" s="1"/>
      <c r="E93" s="1"/>
      <c r="F93" s="5">
        <v>5.34</v>
      </c>
    </row>
    <row r="94" spans="2:6" ht="24.75" x14ac:dyDescent="0.25">
      <c r="B94" s="5" t="s">
        <v>11</v>
      </c>
      <c r="C94" s="1"/>
      <c r="D94" s="1"/>
      <c r="E94" s="1"/>
      <c r="F94" s="5">
        <v>0.55000000000000004</v>
      </c>
    </row>
    <row r="95" spans="2:6" ht="24.75" x14ac:dyDescent="0.25">
      <c r="B95" s="5" t="s">
        <v>12</v>
      </c>
      <c r="C95" s="1"/>
      <c r="D95" s="1"/>
      <c r="E95" s="1"/>
      <c r="F95" s="5">
        <v>0.53</v>
      </c>
    </row>
    <row r="96" spans="2:6" ht="24.75" x14ac:dyDescent="0.25">
      <c r="B96" s="5" t="s">
        <v>13</v>
      </c>
      <c r="C96" s="1"/>
      <c r="D96" s="1"/>
      <c r="E96" s="1"/>
      <c r="F96" s="5">
        <v>0.19</v>
      </c>
    </row>
    <row r="97" spans="2:6" ht="24.75" x14ac:dyDescent="0.25">
      <c r="B97" s="5" t="s">
        <v>14</v>
      </c>
      <c r="C97" s="1"/>
      <c r="D97" s="1"/>
      <c r="E97" s="1"/>
      <c r="F97" s="5">
        <v>1.25</v>
      </c>
    </row>
    <row r="98" spans="2:6" ht="24.75" x14ac:dyDescent="0.25">
      <c r="B98" s="5" t="s">
        <v>9</v>
      </c>
      <c r="C98" s="1"/>
      <c r="D98" s="1"/>
      <c r="E98" s="1"/>
      <c r="F98" s="5">
        <v>0.26</v>
      </c>
    </row>
    <row r="99" spans="2:6" ht="24.75" x14ac:dyDescent="0.25">
      <c r="B99" s="5" t="s">
        <v>15</v>
      </c>
      <c r="C99" s="1"/>
      <c r="D99" s="1"/>
      <c r="E99" s="1"/>
      <c r="F99" s="5">
        <v>0.27</v>
      </c>
    </row>
    <row r="100" spans="2:6" ht="24.75" x14ac:dyDescent="0.25">
      <c r="B100" s="5" t="s">
        <v>16</v>
      </c>
      <c r="C100" s="1"/>
      <c r="D100" s="1"/>
      <c r="E100" s="1"/>
      <c r="F100" s="5">
        <v>0.28999999999999998</v>
      </c>
    </row>
    <row r="101" spans="2:6" x14ac:dyDescent="0.25">
      <c r="B101" s="5" t="s">
        <v>17</v>
      </c>
      <c r="C101" s="1"/>
      <c r="D101" s="1"/>
      <c r="E101" s="1"/>
      <c r="F101" s="5">
        <v>0.32</v>
      </c>
    </row>
    <row r="102" spans="2:6" x14ac:dyDescent="0.25">
      <c r="B102" s="5" t="s">
        <v>18</v>
      </c>
      <c r="C102" s="1"/>
      <c r="D102" s="1"/>
      <c r="E102" s="1"/>
      <c r="F102" s="5">
        <v>1.97</v>
      </c>
    </row>
    <row r="103" spans="2:6" x14ac:dyDescent="0.25">
      <c r="B103" s="5" t="s">
        <v>19</v>
      </c>
      <c r="C103" s="1"/>
      <c r="D103" s="1"/>
      <c r="E103" s="1"/>
      <c r="F103" s="5">
        <v>3.95</v>
      </c>
    </row>
    <row r="104" spans="2:6" x14ac:dyDescent="0.25">
      <c r="B104" s="10" t="s">
        <v>20</v>
      </c>
      <c r="C104" s="1"/>
      <c r="D104" s="1"/>
      <c r="E104" s="1"/>
      <c r="F104" s="4">
        <f>SUM(F92:F103)</f>
        <v>16.93</v>
      </c>
    </row>
    <row r="105" spans="2:6" x14ac:dyDescent="0.25">
      <c r="B105" s="3" t="s">
        <v>21</v>
      </c>
      <c r="C105" s="1"/>
      <c r="D105" s="1"/>
      <c r="E105" s="1"/>
      <c r="F105" s="1"/>
    </row>
    <row r="106" spans="2:6" x14ac:dyDescent="0.25">
      <c r="B106" s="1" t="s">
        <v>317</v>
      </c>
      <c r="C106" s="1" t="s">
        <v>256</v>
      </c>
      <c r="D106" s="1">
        <v>1</v>
      </c>
      <c r="E106" s="1">
        <v>45</v>
      </c>
      <c r="F106" s="24">
        <f>E106/1500.8*1000/12</f>
        <v>2.4986673773987209</v>
      </c>
    </row>
    <row r="107" spans="2:6" x14ac:dyDescent="0.25">
      <c r="B107" s="1" t="s">
        <v>326</v>
      </c>
      <c r="C107" s="1" t="s">
        <v>26</v>
      </c>
      <c r="D107" s="1">
        <v>290</v>
      </c>
      <c r="E107" s="1">
        <v>435</v>
      </c>
      <c r="F107" s="24">
        <f t="shared" ref="F107:F118" si="2">E107/1500.8*1000/12</f>
        <v>24.153784648187635</v>
      </c>
    </row>
    <row r="108" spans="2:6" x14ac:dyDescent="0.25">
      <c r="B108" s="1" t="s">
        <v>275</v>
      </c>
      <c r="C108" s="1" t="s">
        <v>26</v>
      </c>
      <c r="D108" s="1">
        <v>63</v>
      </c>
      <c r="E108" s="1">
        <v>94.5</v>
      </c>
      <c r="F108" s="24">
        <f t="shared" si="2"/>
        <v>5.2472014925373136</v>
      </c>
    </row>
    <row r="109" spans="2:6" x14ac:dyDescent="0.25">
      <c r="B109" s="1" t="s">
        <v>335</v>
      </c>
      <c r="C109" s="1" t="s">
        <v>26</v>
      </c>
      <c r="D109" s="1">
        <v>8</v>
      </c>
      <c r="E109" s="1">
        <v>4.8</v>
      </c>
      <c r="F109" s="24">
        <f t="shared" si="2"/>
        <v>0.26652452025586354</v>
      </c>
    </row>
    <row r="110" spans="2:6" x14ac:dyDescent="0.25">
      <c r="B110" s="1" t="s">
        <v>319</v>
      </c>
      <c r="C110" s="1" t="s">
        <v>261</v>
      </c>
      <c r="D110" s="1">
        <v>45</v>
      </c>
      <c r="E110" s="1">
        <v>58.5</v>
      </c>
      <c r="F110" s="24">
        <f t="shared" si="2"/>
        <v>3.2482675906183367</v>
      </c>
    </row>
    <row r="111" spans="2:6" x14ac:dyDescent="0.25">
      <c r="B111" s="1" t="s">
        <v>320</v>
      </c>
      <c r="C111" s="1" t="s">
        <v>261</v>
      </c>
      <c r="D111" s="1">
        <v>50</v>
      </c>
      <c r="E111" s="1">
        <v>95</v>
      </c>
      <c r="F111" s="24">
        <f t="shared" si="2"/>
        <v>5.2749644633972999</v>
      </c>
    </row>
    <row r="112" spans="2:6" x14ac:dyDescent="0.25">
      <c r="B112" s="1" t="s">
        <v>325</v>
      </c>
      <c r="C112" s="1" t="s">
        <v>261</v>
      </c>
      <c r="D112" s="1">
        <v>62</v>
      </c>
      <c r="E112" s="1">
        <v>117.8</v>
      </c>
      <c r="F112" s="24">
        <f t="shared" si="2"/>
        <v>6.5409559346126507</v>
      </c>
    </row>
    <row r="113" spans="2:6" x14ac:dyDescent="0.25">
      <c r="B113" s="1" t="s">
        <v>321</v>
      </c>
      <c r="C113" s="1" t="s">
        <v>256</v>
      </c>
      <c r="D113" s="1">
        <v>2</v>
      </c>
      <c r="E113" s="1">
        <v>180</v>
      </c>
      <c r="F113" s="24">
        <f t="shared" si="2"/>
        <v>9.9946695095948836</v>
      </c>
    </row>
    <row r="114" spans="2:6" x14ac:dyDescent="0.25">
      <c r="B114" s="1" t="s">
        <v>322</v>
      </c>
      <c r="C114" s="1" t="s">
        <v>261</v>
      </c>
      <c r="D114" s="1">
        <v>180</v>
      </c>
      <c r="E114" s="1">
        <v>216</v>
      </c>
      <c r="F114" s="24">
        <f t="shared" si="2"/>
        <v>11.99360341151386</v>
      </c>
    </row>
    <row r="115" spans="2:6" x14ac:dyDescent="0.25">
      <c r="B115" s="1" t="s">
        <v>323</v>
      </c>
      <c r="C115" s="1" t="s">
        <v>261</v>
      </c>
      <c r="D115" s="1">
        <v>210</v>
      </c>
      <c r="E115" s="1">
        <v>210</v>
      </c>
      <c r="F115" s="24">
        <f t="shared" si="2"/>
        <v>11.66044776119403</v>
      </c>
    </row>
    <row r="116" spans="2:6" x14ac:dyDescent="0.25">
      <c r="B116" s="1" t="s">
        <v>352</v>
      </c>
      <c r="C116" s="1" t="s">
        <v>261</v>
      </c>
      <c r="D116" s="1">
        <v>127</v>
      </c>
      <c r="E116" s="1">
        <v>108</v>
      </c>
      <c r="F116" s="24">
        <f t="shared" si="2"/>
        <v>5.9968017057569298</v>
      </c>
    </row>
    <row r="117" spans="2:6" x14ac:dyDescent="0.25">
      <c r="B117" s="1"/>
      <c r="C117" s="1"/>
      <c r="D117" s="1"/>
      <c r="E117" s="1"/>
      <c r="F117" s="24">
        <f t="shared" si="2"/>
        <v>0</v>
      </c>
    </row>
    <row r="118" spans="2:6" x14ac:dyDescent="0.25">
      <c r="B118" s="1"/>
      <c r="C118" s="1"/>
      <c r="D118" s="1"/>
      <c r="E118" s="1"/>
      <c r="F118" s="24">
        <f t="shared" si="2"/>
        <v>0</v>
      </c>
    </row>
    <row r="119" spans="2:6" x14ac:dyDescent="0.25">
      <c r="B119" s="10" t="s">
        <v>20</v>
      </c>
      <c r="C119" s="1"/>
      <c r="D119" s="1"/>
      <c r="E119" s="4">
        <f>SUM(E106:E118)</f>
        <v>1564.6</v>
      </c>
      <c r="F119" s="22">
        <f>SUM(F106:F118)</f>
        <v>86.875888415067521</v>
      </c>
    </row>
    <row r="120" spans="2:6" x14ac:dyDescent="0.25">
      <c r="B120" s="4" t="s">
        <v>22</v>
      </c>
      <c r="C120" s="6"/>
      <c r="D120" s="6"/>
      <c r="E120" s="6"/>
      <c r="F120" s="23">
        <f>F104+F119</f>
        <v>103.80588841506753</v>
      </c>
    </row>
    <row r="121" spans="2:6" x14ac:dyDescent="0.25">
      <c r="B121" s="7"/>
      <c r="C121" s="7"/>
      <c r="D121" s="7"/>
      <c r="E121" s="7"/>
      <c r="F121" s="7"/>
    </row>
    <row r="122" spans="2:6" x14ac:dyDescent="0.25">
      <c r="B122" s="13"/>
      <c r="C122" s="13"/>
      <c r="D122" s="13"/>
      <c r="E122" s="13"/>
      <c r="F122" s="13"/>
    </row>
    <row r="123" spans="2:6" x14ac:dyDescent="0.25">
      <c r="B123" s="13"/>
      <c r="C123" s="13"/>
      <c r="D123" s="13"/>
      <c r="E123" s="13"/>
      <c r="F123" s="13"/>
    </row>
    <row r="124" spans="2:6" ht="15" customHeight="1" x14ac:dyDescent="0.25">
      <c r="B124" s="39" t="s">
        <v>23</v>
      </c>
      <c r="C124" s="39"/>
      <c r="D124" s="39"/>
      <c r="E124" s="39" t="s">
        <v>24</v>
      </c>
      <c r="F124" s="39"/>
    </row>
    <row r="126" spans="2:6" ht="28.9" customHeight="1" x14ac:dyDescent="0.25">
      <c r="B126" s="37" t="s">
        <v>79</v>
      </c>
      <c r="C126" s="37"/>
      <c r="D126" s="37"/>
      <c r="E126" s="37"/>
      <c r="F126" s="37"/>
    </row>
    <row r="127" spans="2:6" ht="30" customHeight="1" x14ac:dyDescent="0.25">
      <c r="B127" s="37" t="s">
        <v>1</v>
      </c>
      <c r="C127" s="37"/>
      <c r="D127" s="37"/>
      <c r="E127" s="37"/>
      <c r="F127" s="37"/>
    </row>
    <row r="128" spans="2:6" x14ac:dyDescent="0.25">
      <c r="B128" s="14" t="s">
        <v>0</v>
      </c>
      <c r="C128" s="14"/>
      <c r="D128" s="14"/>
      <c r="E128" s="14"/>
      <c r="F128" s="14"/>
    </row>
    <row r="129" spans="2:6" ht="15" customHeight="1" x14ac:dyDescent="0.25">
      <c r="B129" s="12"/>
      <c r="C129" s="38" t="s">
        <v>25</v>
      </c>
      <c r="D129" s="38"/>
      <c r="E129" s="12">
        <v>1436.1</v>
      </c>
      <c r="F129" s="12" t="s">
        <v>26</v>
      </c>
    </row>
    <row r="131" spans="2:6" ht="60" x14ac:dyDescent="0.25">
      <c r="B131" s="1" t="s">
        <v>2</v>
      </c>
      <c r="C131" s="1" t="s">
        <v>4</v>
      </c>
      <c r="D131" s="1" t="s">
        <v>3</v>
      </c>
      <c r="E131" s="1" t="s">
        <v>447</v>
      </c>
      <c r="F131" s="1" t="s">
        <v>5</v>
      </c>
    </row>
    <row r="132" spans="2:6" x14ac:dyDescent="0.25">
      <c r="B132" s="1"/>
      <c r="C132" s="1"/>
      <c r="D132" s="1"/>
      <c r="E132" s="1"/>
      <c r="F132" s="1"/>
    </row>
    <row r="133" spans="2:6" x14ac:dyDescent="0.25">
      <c r="B133" s="3" t="s">
        <v>6</v>
      </c>
      <c r="C133" s="1"/>
      <c r="D133" s="1"/>
      <c r="E133" s="1"/>
      <c r="F133" s="1"/>
    </row>
    <row r="134" spans="2:6" x14ac:dyDescent="0.25">
      <c r="B134" s="5" t="s">
        <v>7</v>
      </c>
      <c r="C134" s="1"/>
      <c r="D134" s="1"/>
      <c r="E134" s="1"/>
      <c r="F134" s="5">
        <v>2.0099999999999998</v>
      </c>
    </row>
    <row r="135" spans="2:6" x14ac:dyDescent="0.25">
      <c r="B135" s="5" t="s">
        <v>8</v>
      </c>
      <c r="C135" s="1"/>
      <c r="D135" s="1"/>
      <c r="E135" s="1"/>
      <c r="F135" s="5">
        <v>5.34</v>
      </c>
    </row>
    <row r="136" spans="2:6" ht="24.75" x14ac:dyDescent="0.25">
      <c r="B136" s="5" t="s">
        <v>11</v>
      </c>
      <c r="C136" s="1"/>
      <c r="D136" s="1"/>
      <c r="E136" s="1"/>
      <c r="F136" s="5">
        <v>0.55000000000000004</v>
      </c>
    </row>
    <row r="137" spans="2:6" ht="24.75" x14ac:dyDescent="0.25">
      <c r="B137" s="5" t="s">
        <v>12</v>
      </c>
      <c r="C137" s="1"/>
      <c r="D137" s="1"/>
      <c r="E137" s="1"/>
      <c r="F137" s="5">
        <v>0.53</v>
      </c>
    </row>
    <row r="138" spans="2:6" ht="24.75" x14ac:dyDescent="0.25">
      <c r="B138" s="5" t="s">
        <v>13</v>
      </c>
      <c r="C138" s="1"/>
      <c r="D138" s="1"/>
      <c r="E138" s="1"/>
      <c r="F138" s="5">
        <v>0.19</v>
      </c>
    </row>
    <row r="139" spans="2:6" ht="24.75" x14ac:dyDescent="0.25">
      <c r="B139" s="5" t="s">
        <v>14</v>
      </c>
      <c r="C139" s="1"/>
      <c r="D139" s="1"/>
      <c r="E139" s="1"/>
      <c r="F139" s="5">
        <v>1.25</v>
      </c>
    </row>
    <row r="140" spans="2:6" ht="24.75" x14ac:dyDescent="0.25">
      <c r="B140" s="5" t="s">
        <v>9</v>
      </c>
      <c r="C140" s="1"/>
      <c r="D140" s="1"/>
      <c r="E140" s="1"/>
      <c r="F140" s="5">
        <v>0.26</v>
      </c>
    </row>
    <row r="141" spans="2:6" ht="24.75" x14ac:dyDescent="0.25">
      <c r="B141" s="5" t="s">
        <v>15</v>
      </c>
      <c r="C141" s="1"/>
      <c r="D141" s="1"/>
      <c r="E141" s="1"/>
      <c r="F141" s="5">
        <v>0.27</v>
      </c>
    </row>
    <row r="142" spans="2:6" ht="24.75" x14ac:dyDescent="0.25">
      <c r="B142" s="5" t="s">
        <v>16</v>
      </c>
      <c r="C142" s="1"/>
      <c r="D142" s="1"/>
      <c r="E142" s="1"/>
      <c r="F142" s="5">
        <v>0.28999999999999998</v>
      </c>
    </row>
    <row r="143" spans="2:6" x14ac:dyDescent="0.25">
      <c r="B143" s="5" t="s">
        <v>17</v>
      </c>
      <c r="C143" s="1"/>
      <c r="D143" s="1"/>
      <c r="E143" s="1"/>
      <c r="F143" s="5">
        <v>0.32</v>
      </c>
    </row>
    <row r="144" spans="2:6" x14ac:dyDescent="0.25">
      <c r="B144" s="5" t="s">
        <v>18</v>
      </c>
      <c r="C144" s="1"/>
      <c r="D144" s="1"/>
      <c r="E144" s="1"/>
      <c r="F144" s="5">
        <v>1.97</v>
      </c>
    </row>
    <row r="145" spans="2:6" x14ac:dyDescent="0.25">
      <c r="B145" s="5" t="s">
        <v>19</v>
      </c>
      <c r="C145" s="1"/>
      <c r="D145" s="1"/>
      <c r="E145" s="1"/>
      <c r="F145" s="5">
        <v>3.95</v>
      </c>
    </row>
    <row r="146" spans="2:6" x14ac:dyDescent="0.25">
      <c r="B146" s="10" t="s">
        <v>20</v>
      </c>
      <c r="C146" s="1"/>
      <c r="D146" s="1"/>
      <c r="E146" s="1"/>
      <c r="F146" s="4">
        <f>SUM(F134:F145)</f>
        <v>16.93</v>
      </c>
    </row>
    <row r="147" spans="2:6" x14ac:dyDescent="0.25">
      <c r="B147" s="3" t="s">
        <v>21</v>
      </c>
      <c r="C147" s="1"/>
      <c r="D147" s="1"/>
      <c r="E147" s="1"/>
      <c r="F147" s="1"/>
    </row>
    <row r="148" spans="2:6" x14ac:dyDescent="0.25">
      <c r="B148" s="1" t="s">
        <v>275</v>
      </c>
      <c r="C148" s="1" t="s">
        <v>26</v>
      </c>
      <c r="D148" s="1">
        <v>78</v>
      </c>
      <c r="E148" s="1">
        <v>117</v>
      </c>
      <c r="F148" s="24">
        <f>E148/1436.1*1000/12</f>
        <v>6.7892208063505342</v>
      </c>
    </row>
    <row r="149" spans="2:6" x14ac:dyDescent="0.25">
      <c r="B149" s="1" t="s">
        <v>339</v>
      </c>
      <c r="C149" s="1" t="s">
        <v>265</v>
      </c>
      <c r="D149" s="1">
        <v>1</v>
      </c>
      <c r="E149" s="1">
        <v>40</v>
      </c>
      <c r="F149" s="24">
        <f t="shared" ref="F149:F160" si="3">E149/1436.1*1000/12</f>
        <v>2.3211011303762508</v>
      </c>
    </row>
    <row r="150" spans="2:6" x14ac:dyDescent="0.25">
      <c r="B150" s="1" t="s">
        <v>322</v>
      </c>
      <c r="C150" s="1" t="s">
        <v>261</v>
      </c>
      <c r="D150" s="1">
        <v>280</v>
      </c>
      <c r="E150" s="1">
        <v>336</v>
      </c>
      <c r="F150" s="24">
        <f t="shared" si="3"/>
        <v>19.497249495160506</v>
      </c>
    </row>
    <row r="151" spans="2:6" x14ac:dyDescent="0.25">
      <c r="B151" s="1" t="s">
        <v>323</v>
      </c>
      <c r="C151" s="1" t="s">
        <v>261</v>
      </c>
      <c r="D151" s="1">
        <v>950</v>
      </c>
      <c r="E151" s="1">
        <v>950</v>
      </c>
      <c r="F151" s="24">
        <f t="shared" si="3"/>
        <v>55.126151846435953</v>
      </c>
    </row>
    <row r="152" spans="2:6" x14ac:dyDescent="0.25">
      <c r="B152" s="1"/>
      <c r="C152" s="1"/>
      <c r="D152" s="1"/>
      <c r="E152" s="1"/>
      <c r="F152" s="24">
        <f t="shared" si="3"/>
        <v>0</v>
      </c>
    </row>
    <row r="153" spans="2:6" x14ac:dyDescent="0.25">
      <c r="B153" s="1"/>
      <c r="C153" s="1"/>
      <c r="D153" s="1"/>
      <c r="E153" s="1"/>
      <c r="F153" s="24">
        <f t="shared" si="3"/>
        <v>0</v>
      </c>
    </row>
    <row r="154" spans="2:6" x14ac:dyDescent="0.25">
      <c r="B154" s="1"/>
      <c r="C154" s="1"/>
      <c r="D154" s="1"/>
      <c r="E154" s="1"/>
      <c r="F154" s="24">
        <f t="shared" si="3"/>
        <v>0</v>
      </c>
    </row>
    <row r="155" spans="2:6" x14ac:dyDescent="0.25">
      <c r="B155" s="1"/>
      <c r="C155" s="1"/>
      <c r="D155" s="1"/>
      <c r="E155" s="1"/>
      <c r="F155" s="24">
        <f t="shared" si="3"/>
        <v>0</v>
      </c>
    </row>
    <row r="156" spans="2:6" x14ac:dyDescent="0.25">
      <c r="B156" s="1"/>
      <c r="C156" s="1"/>
      <c r="D156" s="1"/>
      <c r="E156" s="1"/>
      <c r="F156" s="24">
        <f t="shared" si="3"/>
        <v>0</v>
      </c>
    </row>
    <row r="157" spans="2:6" x14ac:dyDescent="0.25">
      <c r="B157" s="1"/>
      <c r="C157" s="1"/>
      <c r="D157" s="1"/>
      <c r="E157" s="1"/>
      <c r="F157" s="24">
        <f t="shared" si="3"/>
        <v>0</v>
      </c>
    </row>
    <row r="158" spans="2:6" x14ac:dyDescent="0.25">
      <c r="B158" s="1"/>
      <c r="C158" s="1"/>
      <c r="D158" s="1"/>
      <c r="E158" s="1"/>
      <c r="F158" s="24">
        <f t="shared" si="3"/>
        <v>0</v>
      </c>
    </row>
    <row r="159" spans="2:6" x14ac:dyDescent="0.25">
      <c r="B159" s="1"/>
      <c r="C159" s="1"/>
      <c r="D159" s="1"/>
      <c r="E159" s="1"/>
      <c r="F159" s="24">
        <f t="shared" si="3"/>
        <v>0</v>
      </c>
    </row>
    <row r="160" spans="2:6" x14ac:dyDescent="0.25">
      <c r="B160" s="1"/>
      <c r="C160" s="1"/>
      <c r="D160" s="1"/>
      <c r="E160" s="1"/>
      <c r="F160" s="24">
        <f t="shared" si="3"/>
        <v>0</v>
      </c>
    </row>
    <row r="161" spans="2:6" x14ac:dyDescent="0.25">
      <c r="B161" s="10" t="s">
        <v>20</v>
      </c>
      <c r="C161" s="1"/>
      <c r="D161" s="1"/>
      <c r="E161" s="4">
        <f>SUM(E148:E160)</f>
        <v>1443</v>
      </c>
      <c r="F161" s="22">
        <f>SUM(F148:F160)</f>
        <v>83.733723278323239</v>
      </c>
    </row>
    <row r="162" spans="2:6" x14ac:dyDescent="0.25">
      <c r="B162" s="4" t="s">
        <v>22</v>
      </c>
      <c r="C162" s="6"/>
      <c r="D162" s="6"/>
      <c r="E162" s="6"/>
      <c r="F162" s="23">
        <f>F146+F161</f>
        <v>100.66372327832323</v>
      </c>
    </row>
    <row r="163" spans="2:6" x14ac:dyDescent="0.25">
      <c r="B163" s="7"/>
      <c r="C163" s="7"/>
      <c r="D163" s="7"/>
      <c r="E163" s="7"/>
      <c r="F163" s="7"/>
    </row>
    <row r="164" spans="2:6" x14ac:dyDescent="0.25">
      <c r="B164" s="13"/>
      <c r="C164" s="13"/>
      <c r="D164" s="13"/>
      <c r="E164" s="13"/>
      <c r="F164" s="13"/>
    </row>
    <row r="165" spans="2:6" x14ac:dyDescent="0.25">
      <c r="B165" s="13"/>
      <c r="C165" s="13"/>
      <c r="D165" s="13"/>
      <c r="E165" s="13"/>
      <c r="F165" s="13"/>
    </row>
    <row r="166" spans="2:6" ht="15" customHeight="1" x14ac:dyDescent="0.25">
      <c r="B166" s="39" t="s">
        <v>23</v>
      </c>
      <c r="C166" s="39"/>
      <c r="D166" s="39"/>
      <c r="E166" s="39" t="s">
        <v>24</v>
      </c>
      <c r="F166" s="39"/>
    </row>
    <row r="168" spans="2:6" ht="28.15" customHeight="1" x14ac:dyDescent="0.25">
      <c r="B168" s="37" t="s">
        <v>80</v>
      </c>
      <c r="C168" s="37"/>
      <c r="D168" s="37"/>
      <c r="E168" s="37"/>
      <c r="F168" s="37"/>
    </row>
    <row r="169" spans="2:6" ht="39" customHeight="1" x14ac:dyDescent="0.25">
      <c r="B169" s="37" t="s">
        <v>1</v>
      </c>
      <c r="C169" s="37"/>
      <c r="D169" s="37"/>
      <c r="E169" s="37"/>
      <c r="F169" s="37"/>
    </row>
    <row r="170" spans="2:6" x14ac:dyDescent="0.25">
      <c r="B170" s="14" t="s">
        <v>0</v>
      </c>
      <c r="C170" s="14"/>
      <c r="D170" s="14"/>
      <c r="E170" s="14"/>
      <c r="F170" s="14"/>
    </row>
    <row r="171" spans="2:6" ht="15" customHeight="1" x14ac:dyDescent="0.25">
      <c r="B171" s="12"/>
      <c r="C171" s="38" t="s">
        <v>25</v>
      </c>
      <c r="D171" s="38"/>
      <c r="E171" s="12">
        <v>1302.5</v>
      </c>
      <c r="F171" s="12" t="s">
        <v>26</v>
      </c>
    </row>
    <row r="173" spans="2:6" ht="60" x14ac:dyDescent="0.25">
      <c r="B173" s="1" t="s">
        <v>2</v>
      </c>
      <c r="C173" s="1" t="s">
        <v>4</v>
      </c>
      <c r="D173" s="1" t="s">
        <v>3</v>
      </c>
      <c r="E173" s="1" t="s">
        <v>447</v>
      </c>
      <c r="F173" s="1" t="s">
        <v>5</v>
      </c>
    </row>
    <row r="174" spans="2:6" x14ac:dyDescent="0.25">
      <c r="B174" s="1"/>
      <c r="C174" s="1"/>
      <c r="D174" s="1"/>
      <c r="E174" s="1"/>
      <c r="F174" s="1"/>
    </row>
    <row r="175" spans="2:6" x14ac:dyDescent="0.25">
      <c r="B175" s="3" t="s">
        <v>6</v>
      </c>
      <c r="C175" s="1"/>
      <c r="D175" s="1"/>
      <c r="E175" s="1"/>
      <c r="F175" s="1"/>
    </row>
    <row r="176" spans="2:6" x14ac:dyDescent="0.25">
      <c r="B176" s="5" t="s">
        <v>7</v>
      </c>
      <c r="C176" s="1"/>
      <c r="D176" s="1"/>
      <c r="E176" s="1"/>
      <c r="F176" s="5">
        <v>2.0099999999999998</v>
      </c>
    </row>
    <row r="177" spans="2:6" x14ac:dyDescent="0.25">
      <c r="B177" s="5" t="s">
        <v>8</v>
      </c>
      <c r="C177" s="1"/>
      <c r="D177" s="1"/>
      <c r="E177" s="1"/>
      <c r="F177" s="5">
        <v>5.34</v>
      </c>
    </row>
    <row r="178" spans="2:6" x14ac:dyDescent="0.25">
      <c r="B178" s="15" t="s">
        <v>30</v>
      </c>
      <c r="C178" s="1"/>
      <c r="D178" s="1"/>
      <c r="E178" s="1"/>
      <c r="F178" s="5">
        <v>0.06</v>
      </c>
    </row>
    <row r="179" spans="2:6" ht="24.75" x14ac:dyDescent="0.25">
      <c r="B179" s="5" t="s">
        <v>11</v>
      </c>
      <c r="C179" s="1"/>
      <c r="D179" s="1"/>
      <c r="E179" s="1"/>
      <c r="F179" s="5">
        <v>0.55000000000000004</v>
      </c>
    </row>
    <row r="180" spans="2:6" ht="24.75" x14ac:dyDescent="0.25">
      <c r="B180" s="5" t="s">
        <v>12</v>
      </c>
      <c r="C180" s="1"/>
      <c r="D180" s="1"/>
      <c r="E180" s="1"/>
      <c r="F180" s="5">
        <v>0.53</v>
      </c>
    </row>
    <row r="181" spans="2:6" ht="24.75" x14ac:dyDescent="0.25">
      <c r="B181" s="5" t="s">
        <v>13</v>
      </c>
      <c r="C181" s="1"/>
      <c r="D181" s="1"/>
      <c r="E181" s="1"/>
      <c r="F181" s="5">
        <v>0.19</v>
      </c>
    </row>
    <row r="182" spans="2:6" ht="24.75" x14ac:dyDescent="0.25">
      <c r="B182" s="5" t="s">
        <v>14</v>
      </c>
      <c r="C182" s="1"/>
      <c r="D182" s="1"/>
      <c r="E182" s="1"/>
      <c r="F182" s="5">
        <v>1.25</v>
      </c>
    </row>
    <row r="183" spans="2:6" ht="24.75" x14ac:dyDescent="0.25">
      <c r="B183" s="5" t="s">
        <v>9</v>
      </c>
      <c r="C183" s="1"/>
      <c r="D183" s="1"/>
      <c r="E183" s="1"/>
      <c r="F183" s="5">
        <v>0.26</v>
      </c>
    </row>
    <row r="184" spans="2:6" ht="24.75" x14ac:dyDescent="0.25">
      <c r="B184" s="5" t="s">
        <v>15</v>
      </c>
      <c r="C184" s="1"/>
      <c r="D184" s="1"/>
      <c r="E184" s="1"/>
      <c r="F184" s="5">
        <v>0.27</v>
      </c>
    </row>
    <row r="185" spans="2:6" ht="24.75" x14ac:dyDescent="0.25">
      <c r="B185" s="5" t="s">
        <v>16</v>
      </c>
      <c r="C185" s="1"/>
      <c r="D185" s="1"/>
      <c r="E185" s="1"/>
      <c r="F185" s="5">
        <v>0.28999999999999998</v>
      </c>
    </row>
    <row r="186" spans="2:6" x14ac:dyDescent="0.25">
      <c r="B186" s="5" t="s">
        <v>17</v>
      </c>
      <c r="C186" s="1"/>
      <c r="D186" s="1"/>
      <c r="E186" s="1"/>
      <c r="F186" s="5">
        <v>0.32</v>
      </c>
    </row>
    <row r="187" spans="2:6" x14ac:dyDescent="0.25">
      <c r="B187" s="5" t="s">
        <v>18</v>
      </c>
      <c r="C187" s="1"/>
      <c r="D187" s="1"/>
      <c r="E187" s="1"/>
      <c r="F187" s="5">
        <v>1.97</v>
      </c>
    </row>
    <row r="188" spans="2:6" x14ac:dyDescent="0.25">
      <c r="B188" s="5" t="s">
        <v>19</v>
      </c>
      <c r="C188" s="1"/>
      <c r="D188" s="1"/>
      <c r="E188" s="1"/>
      <c r="F188" s="5">
        <v>3.95</v>
      </c>
    </row>
    <row r="189" spans="2:6" x14ac:dyDescent="0.25">
      <c r="B189" s="10" t="s">
        <v>20</v>
      </c>
      <c r="C189" s="1"/>
      <c r="D189" s="1"/>
      <c r="E189" s="1"/>
      <c r="F189" s="4">
        <f>SUM(F176:F188)</f>
        <v>16.989999999999998</v>
      </c>
    </row>
    <row r="190" spans="2:6" x14ac:dyDescent="0.25">
      <c r="B190" s="3" t="s">
        <v>21</v>
      </c>
      <c r="C190" s="1"/>
      <c r="D190" s="1"/>
      <c r="E190" s="1"/>
      <c r="F190" s="1"/>
    </row>
    <row r="191" spans="2:6" x14ac:dyDescent="0.25">
      <c r="B191" s="1" t="s">
        <v>352</v>
      </c>
      <c r="C191" s="1" t="s">
        <v>261</v>
      </c>
      <c r="D191" s="1">
        <v>150</v>
      </c>
      <c r="E191" s="1">
        <v>127.5</v>
      </c>
      <c r="F191" s="24">
        <f>E191/1302.5*1000/12</f>
        <v>8.157389635316699</v>
      </c>
    </row>
    <row r="192" spans="2:6" x14ac:dyDescent="0.25">
      <c r="B192" s="1" t="s">
        <v>317</v>
      </c>
      <c r="C192" s="1" t="s">
        <v>256</v>
      </c>
      <c r="D192" s="1">
        <v>1</v>
      </c>
      <c r="E192" s="1">
        <v>45</v>
      </c>
      <c r="F192" s="24">
        <f t="shared" ref="F192:F203" si="4">E192/1302.5*1000/12</f>
        <v>2.8790786948176588</v>
      </c>
    </row>
    <row r="193" spans="2:6" x14ac:dyDescent="0.25">
      <c r="B193" s="1" t="s">
        <v>395</v>
      </c>
      <c r="C193" s="1" t="s">
        <v>26</v>
      </c>
      <c r="D193" s="1">
        <v>175</v>
      </c>
      <c r="E193" s="1">
        <v>262.5</v>
      </c>
      <c r="F193" s="24">
        <f t="shared" si="4"/>
        <v>16.794625719769673</v>
      </c>
    </row>
    <row r="194" spans="2:6" x14ac:dyDescent="0.25">
      <c r="B194" s="1" t="s">
        <v>275</v>
      </c>
      <c r="C194" s="1" t="s">
        <v>261</v>
      </c>
      <c r="D194" s="1">
        <v>109</v>
      </c>
      <c r="E194" s="1">
        <v>163.5</v>
      </c>
      <c r="F194" s="24">
        <f t="shared" si="4"/>
        <v>10.460652591170826</v>
      </c>
    </row>
    <row r="195" spans="2:6" x14ac:dyDescent="0.25">
      <c r="B195" s="1" t="s">
        <v>319</v>
      </c>
      <c r="C195" s="1" t="s">
        <v>261</v>
      </c>
      <c r="D195" s="1">
        <v>72</v>
      </c>
      <c r="E195" s="1">
        <v>93.6</v>
      </c>
      <c r="F195" s="24">
        <f t="shared" si="4"/>
        <v>5.9884836852207286</v>
      </c>
    </row>
    <row r="196" spans="2:6" x14ac:dyDescent="0.25">
      <c r="B196" s="1" t="s">
        <v>325</v>
      </c>
      <c r="C196" s="1" t="s">
        <v>261</v>
      </c>
      <c r="D196" s="1">
        <v>90</v>
      </c>
      <c r="E196" s="1">
        <v>171</v>
      </c>
      <c r="F196" s="24">
        <f t="shared" si="4"/>
        <v>10.940499040307103</v>
      </c>
    </row>
    <row r="197" spans="2:6" x14ac:dyDescent="0.25">
      <c r="B197" s="1" t="s">
        <v>321</v>
      </c>
      <c r="C197" s="1" t="s">
        <v>256</v>
      </c>
      <c r="D197" s="1">
        <v>2</v>
      </c>
      <c r="E197" s="1">
        <v>160</v>
      </c>
      <c r="F197" s="24">
        <f t="shared" si="4"/>
        <v>10.236724248240563</v>
      </c>
    </row>
    <row r="198" spans="2:6" x14ac:dyDescent="0.25">
      <c r="B198" s="1" t="s">
        <v>322</v>
      </c>
      <c r="C198" s="1" t="s">
        <v>261</v>
      </c>
      <c r="D198" s="1">
        <v>280</v>
      </c>
      <c r="E198" s="1">
        <v>336</v>
      </c>
      <c r="F198" s="24">
        <f t="shared" si="4"/>
        <v>21.497120921305182</v>
      </c>
    </row>
    <row r="199" spans="2:6" x14ac:dyDescent="0.25">
      <c r="B199" s="1" t="s">
        <v>323</v>
      </c>
      <c r="C199" s="1" t="s">
        <v>261</v>
      </c>
      <c r="D199" s="1">
        <v>950</v>
      </c>
      <c r="E199" s="1">
        <v>950</v>
      </c>
      <c r="F199" s="24">
        <f t="shared" si="4"/>
        <v>60.780550223928344</v>
      </c>
    </row>
    <row r="200" spans="2:6" x14ac:dyDescent="0.25">
      <c r="B200" s="1"/>
      <c r="C200" s="1"/>
      <c r="D200" s="1"/>
      <c r="E200" s="1"/>
      <c r="F200" s="24">
        <f t="shared" si="4"/>
        <v>0</v>
      </c>
    </row>
    <row r="201" spans="2:6" x14ac:dyDescent="0.25">
      <c r="B201" s="1"/>
      <c r="C201" s="1"/>
      <c r="D201" s="1"/>
      <c r="E201" s="1"/>
      <c r="F201" s="24">
        <f t="shared" si="4"/>
        <v>0</v>
      </c>
    </row>
    <row r="202" spans="2:6" x14ac:dyDescent="0.25">
      <c r="B202" s="1"/>
      <c r="C202" s="1"/>
      <c r="D202" s="1"/>
      <c r="E202" s="1"/>
      <c r="F202" s="24">
        <f t="shared" si="4"/>
        <v>0</v>
      </c>
    </row>
    <row r="203" spans="2:6" x14ac:dyDescent="0.25">
      <c r="B203" s="1"/>
      <c r="C203" s="1"/>
      <c r="D203" s="1"/>
      <c r="E203" s="1"/>
      <c r="F203" s="24">
        <f t="shared" si="4"/>
        <v>0</v>
      </c>
    </row>
    <row r="204" spans="2:6" x14ac:dyDescent="0.25">
      <c r="B204" s="10" t="s">
        <v>20</v>
      </c>
      <c r="C204" s="1"/>
      <c r="D204" s="1"/>
      <c r="E204" s="4">
        <f>SUM(E191:E203)</f>
        <v>2309.1</v>
      </c>
      <c r="F204" s="22">
        <f>SUM(F191:F203)</f>
        <v>147.73512476007676</v>
      </c>
    </row>
    <row r="205" spans="2:6" x14ac:dyDescent="0.25">
      <c r="B205" s="4" t="s">
        <v>22</v>
      </c>
      <c r="C205" s="6"/>
      <c r="D205" s="6"/>
      <c r="E205" s="6"/>
      <c r="F205" s="23">
        <f>F189+F204</f>
        <v>164.72512476007677</v>
      </c>
    </row>
    <row r="206" spans="2:6" x14ac:dyDescent="0.25">
      <c r="B206" s="7"/>
      <c r="C206" s="7"/>
      <c r="D206" s="7"/>
      <c r="E206" s="7"/>
      <c r="F206" s="7"/>
    </row>
    <row r="207" spans="2:6" x14ac:dyDescent="0.25">
      <c r="B207" s="13"/>
      <c r="C207" s="13"/>
      <c r="D207" s="13"/>
      <c r="E207" s="13"/>
      <c r="F207" s="13"/>
    </row>
    <row r="208" spans="2:6" x14ac:dyDescent="0.25">
      <c r="B208" s="13"/>
      <c r="C208" s="13"/>
      <c r="D208" s="13"/>
      <c r="E208" s="13"/>
      <c r="F208" s="13"/>
    </row>
    <row r="209" spans="2:6" ht="15" customHeight="1" x14ac:dyDescent="0.25">
      <c r="B209" s="39" t="s">
        <v>23</v>
      </c>
      <c r="C209" s="39"/>
      <c r="D209" s="39"/>
      <c r="E209" s="39" t="s">
        <v>24</v>
      </c>
      <c r="F209" s="39"/>
    </row>
    <row r="211" spans="2:6" ht="28.15" customHeight="1" x14ac:dyDescent="0.25">
      <c r="B211" s="37" t="s">
        <v>452</v>
      </c>
      <c r="C211" s="37"/>
      <c r="D211" s="37"/>
      <c r="E211" s="37"/>
      <c r="F211" s="37"/>
    </row>
    <row r="212" spans="2:6" ht="33.6" customHeight="1" x14ac:dyDescent="0.25">
      <c r="B212" s="37" t="s">
        <v>1</v>
      </c>
      <c r="C212" s="37"/>
      <c r="D212" s="37"/>
      <c r="E212" s="37"/>
      <c r="F212" s="37"/>
    </row>
    <row r="213" spans="2:6" x14ac:dyDescent="0.25">
      <c r="B213" s="14" t="s">
        <v>0</v>
      </c>
      <c r="C213" s="14"/>
      <c r="D213" s="14"/>
      <c r="E213" s="14"/>
      <c r="F213" s="14"/>
    </row>
    <row r="214" spans="2:6" ht="15" customHeight="1" x14ac:dyDescent="0.25">
      <c r="B214" s="12"/>
      <c r="C214" s="38" t="s">
        <v>25</v>
      </c>
      <c r="D214" s="38"/>
      <c r="E214" s="12">
        <v>377.8</v>
      </c>
      <c r="F214" s="12" t="s">
        <v>26</v>
      </c>
    </row>
    <row r="216" spans="2:6" ht="60" x14ac:dyDescent="0.25">
      <c r="B216" s="1" t="s">
        <v>2</v>
      </c>
      <c r="C216" s="1" t="s">
        <v>4</v>
      </c>
      <c r="D216" s="1" t="s">
        <v>3</v>
      </c>
      <c r="E216" s="1" t="s">
        <v>447</v>
      </c>
      <c r="F216" s="1" t="s">
        <v>5</v>
      </c>
    </row>
    <row r="217" spans="2:6" x14ac:dyDescent="0.25">
      <c r="B217" s="1"/>
      <c r="C217" s="1"/>
      <c r="D217" s="1"/>
      <c r="E217" s="1"/>
      <c r="F217" s="1"/>
    </row>
    <row r="218" spans="2:6" x14ac:dyDescent="0.25">
      <c r="B218" s="3" t="s">
        <v>6</v>
      </c>
      <c r="C218" s="1"/>
      <c r="D218" s="1"/>
      <c r="E218" s="1"/>
      <c r="F218" s="1"/>
    </row>
    <row r="219" spans="2:6" x14ac:dyDescent="0.25">
      <c r="B219" s="5" t="s">
        <v>7</v>
      </c>
      <c r="C219" s="1"/>
      <c r="D219" s="1"/>
      <c r="E219" s="1"/>
      <c r="F219" s="5">
        <v>2.0099999999999998</v>
      </c>
    </row>
    <row r="220" spans="2:6" x14ac:dyDescent="0.25">
      <c r="B220" s="5" t="s">
        <v>8</v>
      </c>
      <c r="C220" s="1"/>
      <c r="D220" s="1"/>
      <c r="E220" s="1"/>
      <c r="F220" s="5">
        <v>5.34</v>
      </c>
    </row>
    <row r="221" spans="2:6" x14ac:dyDescent="0.25">
      <c r="B221" s="15" t="s">
        <v>30</v>
      </c>
      <c r="C221" s="1"/>
      <c r="D221" s="1"/>
      <c r="E221" s="1"/>
      <c r="F221" s="5">
        <v>0.06</v>
      </c>
    </row>
    <row r="222" spans="2:6" ht="24.75" x14ac:dyDescent="0.25">
      <c r="B222" s="5" t="s">
        <v>11</v>
      </c>
      <c r="C222" s="1"/>
      <c r="D222" s="1"/>
      <c r="E222" s="1"/>
      <c r="F222" s="5">
        <v>0.55000000000000004</v>
      </c>
    </row>
    <row r="223" spans="2:6" ht="24.75" x14ac:dyDescent="0.25">
      <c r="B223" s="5" t="s">
        <v>12</v>
      </c>
      <c r="C223" s="1"/>
      <c r="D223" s="1"/>
      <c r="E223" s="1"/>
      <c r="F223" s="5">
        <v>0.53</v>
      </c>
    </row>
    <row r="224" spans="2:6" ht="24.75" x14ac:dyDescent="0.25">
      <c r="B224" s="5" t="s">
        <v>13</v>
      </c>
      <c r="C224" s="1"/>
      <c r="D224" s="1"/>
      <c r="E224" s="1"/>
      <c r="F224" s="5">
        <v>0.19</v>
      </c>
    </row>
    <row r="225" spans="2:6" ht="24.75" x14ac:dyDescent="0.25">
      <c r="B225" s="5" t="s">
        <v>14</v>
      </c>
      <c r="C225" s="1"/>
      <c r="D225" s="1"/>
      <c r="E225" s="1"/>
      <c r="F225" s="5">
        <v>1.25</v>
      </c>
    </row>
    <row r="226" spans="2:6" ht="24.75" x14ac:dyDescent="0.25">
      <c r="B226" s="5" t="s">
        <v>9</v>
      </c>
      <c r="C226" s="1"/>
      <c r="D226" s="1"/>
      <c r="E226" s="1"/>
      <c r="F226" s="5">
        <v>0.26</v>
      </c>
    </row>
    <row r="227" spans="2:6" ht="24.75" x14ac:dyDescent="0.25">
      <c r="B227" s="5" t="s">
        <v>15</v>
      </c>
      <c r="C227" s="1"/>
      <c r="D227" s="1"/>
      <c r="E227" s="1"/>
      <c r="F227" s="5">
        <v>0.27</v>
      </c>
    </row>
    <row r="228" spans="2:6" ht="24.75" x14ac:dyDescent="0.25">
      <c r="B228" s="5" t="s">
        <v>16</v>
      </c>
      <c r="C228" s="1"/>
      <c r="D228" s="1"/>
      <c r="E228" s="1"/>
      <c r="F228" s="5">
        <v>0.28999999999999998</v>
      </c>
    </row>
    <row r="229" spans="2:6" x14ac:dyDescent="0.25">
      <c r="B229" s="5" t="s">
        <v>17</v>
      </c>
      <c r="C229" s="1"/>
      <c r="D229" s="1"/>
      <c r="E229" s="1"/>
      <c r="F229" s="5">
        <v>0.32</v>
      </c>
    </row>
    <row r="230" spans="2:6" x14ac:dyDescent="0.25">
      <c r="B230" s="5" t="s">
        <v>18</v>
      </c>
      <c r="C230" s="1"/>
      <c r="D230" s="1"/>
      <c r="E230" s="1"/>
      <c r="F230" s="5">
        <v>1.97</v>
      </c>
    </row>
    <row r="231" spans="2:6" x14ac:dyDescent="0.25">
      <c r="B231" s="5" t="s">
        <v>19</v>
      </c>
      <c r="C231" s="1"/>
      <c r="D231" s="1"/>
      <c r="E231" s="1"/>
      <c r="F231" s="5">
        <v>3.95</v>
      </c>
    </row>
    <row r="232" spans="2:6" x14ac:dyDescent="0.25">
      <c r="B232" s="10" t="s">
        <v>20</v>
      </c>
      <c r="C232" s="1"/>
      <c r="D232" s="1"/>
      <c r="E232" s="1"/>
      <c r="F232" s="4">
        <f>SUM(F219:F231)</f>
        <v>16.989999999999998</v>
      </c>
    </row>
    <row r="233" spans="2:6" x14ac:dyDescent="0.25">
      <c r="B233" s="3" t="s">
        <v>21</v>
      </c>
      <c r="C233" s="1"/>
      <c r="D233" s="1"/>
      <c r="E233" s="1"/>
      <c r="F233" s="1"/>
    </row>
    <row r="234" spans="2:6" x14ac:dyDescent="0.25">
      <c r="B234" s="1" t="s">
        <v>347</v>
      </c>
      <c r="C234" s="1" t="s">
        <v>26</v>
      </c>
      <c r="D234" s="1">
        <v>544</v>
      </c>
      <c r="E234" s="1">
        <v>136</v>
      </c>
      <c r="F234" s="24">
        <f>E234/377.8*1000/12</f>
        <v>29.998235397917771</v>
      </c>
    </row>
    <row r="235" spans="2:6" x14ac:dyDescent="0.25">
      <c r="B235" s="1" t="s">
        <v>326</v>
      </c>
      <c r="C235" s="1" t="s">
        <v>26</v>
      </c>
      <c r="D235" s="1">
        <v>120</v>
      </c>
      <c r="E235" s="1">
        <v>180</v>
      </c>
      <c r="F235" s="24">
        <f t="shared" ref="F235:F246" si="5">E235/377.8*1000/12</f>
        <v>39.703546850185283</v>
      </c>
    </row>
    <row r="236" spans="2:6" x14ac:dyDescent="0.25">
      <c r="B236" s="1" t="s">
        <v>330</v>
      </c>
      <c r="C236" s="1" t="s">
        <v>261</v>
      </c>
      <c r="D236" s="1">
        <v>20</v>
      </c>
      <c r="E236" s="1">
        <v>26</v>
      </c>
      <c r="F236" s="24">
        <f t="shared" si="5"/>
        <v>5.7349567672489847</v>
      </c>
    </row>
    <row r="237" spans="2:6" x14ac:dyDescent="0.25">
      <c r="B237" s="1" t="s">
        <v>319</v>
      </c>
      <c r="C237" s="1" t="s">
        <v>261</v>
      </c>
      <c r="D237" s="1">
        <v>8</v>
      </c>
      <c r="E237" s="1">
        <v>10.8</v>
      </c>
      <c r="F237" s="24">
        <f t="shared" si="5"/>
        <v>2.3822128110111174</v>
      </c>
    </row>
    <row r="238" spans="2:6" x14ac:dyDescent="0.25">
      <c r="B238" s="1" t="s">
        <v>320</v>
      </c>
      <c r="C238" s="1" t="s">
        <v>261</v>
      </c>
      <c r="D238" s="1">
        <v>20</v>
      </c>
      <c r="E238" s="1">
        <v>38</v>
      </c>
      <c r="F238" s="24">
        <f t="shared" si="5"/>
        <v>8.3818598905946704</v>
      </c>
    </row>
    <row r="239" spans="2:6" x14ac:dyDescent="0.25">
      <c r="B239" s="1" t="s">
        <v>325</v>
      </c>
      <c r="C239" s="1" t="s">
        <v>261</v>
      </c>
      <c r="D239" s="1">
        <v>24</v>
      </c>
      <c r="E239" s="1">
        <v>45.6</v>
      </c>
      <c r="F239" s="24">
        <f t="shared" si="5"/>
        <v>10.058231868713605</v>
      </c>
    </row>
    <row r="240" spans="2:6" x14ac:dyDescent="0.25">
      <c r="B240" s="1" t="s">
        <v>321</v>
      </c>
      <c r="C240" s="1" t="s">
        <v>256</v>
      </c>
      <c r="D240" s="1">
        <v>1</v>
      </c>
      <c r="E240" s="1">
        <v>55</v>
      </c>
      <c r="F240" s="24">
        <f t="shared" si="5"/>
        <v>12.131639315334391</v>
      </c>
    </row>
    <row r="241" spans="2:6" x14ac:dyDescent="0.25">
      <c r="B241" s="1" t="s">
        <v>335</v>
      </c>
      <c r="C241" s="1" t="s">
        <v>26</v>
      </c>
      <c r="D241" s="1">
        <v>20</v>
      </c>
      <c r="E241" s="1">
        <v>12</v>
      </c>
      <c r="F241" s="24">
        <f t="shared" si="5"/>
        <v>2.6469031233456857</v>
      </c>
    </row>
    <row r="242" spans="2:6" x14ac:dyDescent="0.25">
      <c r="B242" s="1"/>
      <c r="C242" s="1"/>
      <c r="D242" s="1"/>
      <c r="E242" s="1"/>
      <c r="F242" s="24">
        <f t="shared" si="5"/>
        <v>0</v>
      </c>
    </row>
    <row r="243" spans="2:6" x14ac:dyDescent="0.25">
      <c r="B243" s="1"/>
      <c r="C243" s="1"/>
      <c r="D243" s="1"/>
      <c r="E243" s="1"/>
      <c r="F243" s="24">
        <f t="shared" si="5"/>
        <v>0</v>
      </c>
    </row>
    <row r="244" spans="2:6" x14ac:dyDescent="0.25">
      <c r="B244" s="1"/>
      <c r="C244" s="1"/>
      <c r="D244" s="1"/>
      <c r="E244" s="1"/>
      <c r="F244" s="24">
        <f t="shared" si="5"/>
        <v>0</v>
      </c>
    </row>
    <row r="245" spans="2:6" x14ac:dyDescent="0.25">
      <c r="B245" s="1"/>
      <c r="C245" s="1"/>
      <c r="D245" s="1"/>
      <c r="E245" s="1"/>
      <c r="F245" s="24">
        <f t="shared" si="5"/>
        <v>0</v>
      </c>
    </row>
    <row r="246" spans="2:6" x14ac:dyDescent="0.25">
      <c r="B246" s="1"/>
      <c r="C246" s="1"/>
      <c r="D246" s="1"/>
      <c r="E246" s="1"/>
      <c r="F246" s="24">
        <f t="shared" si="5"/>
        <v>0</v>
      </c>
    </row>
    <row r="247" spans="2:6" x14ac:dyDescent="0.25">
      <c r="B247" s="10" t="s">
        <v>20</v>
      </c>
      <c r="C247" s="1"/>
      <c r="D247" s="1"/>
      <c r="E247" s="4">
        <f>SUM(E234:E246)</f>
        <v>503.40000000000003</v>
      </c>
      <c r="F247" s="22">
        <f>SUM(F234:F246)</f>
        <v>111.03758602435151</v>
      </c>
    </row>
    <row r="248" spans="2:6" x14ac:dyDescent="0.25">
      <c r="B248" s="4" t="s">
        <v>22</v>
      </c>
      <c r="C248" s="6"/>
      <c r="D248" s="6"/>
      <c r="E248" s="6"/>
      <c r="F248" s="23">
        <f>F232+F247</f>
        <v>128.02758602435151</v>
      </c>
    </row>
    <row r="249" spans="2:6" x14ac:dyDescent="0.25">
      <c r="B249" s="7"/>
      <c r="C249" s="7"/>
      <c r="D249" s="7"/>
      <c r="E249" s="7"/>
      <c r="F249" s="7"/>
    </row>
    <row r="250" spans="2:6" x14ac:dyDescent="0.25">
      <c r="B250" s="13"/>
      <c r="C250" s="13"/>
      <c r="D250" s="13"/>
      <c r="E250" s="13"/>
      <c r="F250" s="13"/>
    </row>
    <row r="251" spans="2:6" x14ac:dyDescent="0.25">
      <c r="B251" s="13"/>
      <c r="C251" s="13"/>
      <c r="D251" s="13"/>
      <c r="E251" s="13"/>
      <c r="F251" s="13"/>
    </row>
    <row r="252" spans="2:6" ht="15" customHeight="1" x14ac:dyDescent="0.25">
      <c r="B252" s="39" t="s">
        <v>23</v>
      </c>
      <c r="C252" s="39"/>
      <c r="D252" s="39"/>
      <c r="E252" s="39" t="s">
        <v>24</v>
      </c>
      <c r="F252" s="39"/>
    </row>
    <row r="254" spans="2:6" ht="31.15" customHeight="1" x14ac:dyDescent="0.25">
      <c r="B254" s="37" t="s">
        <v>81</v>
      </c>
      <c r="C254" s="37"/>
      <c r="D254" s="37"/>
      <c r="E254" s="37"/>
      <c r="F254" s="37"/>
    </row>
    <row r="255" spans="2:6" ht="26.45" customHeight="1" x14ac:dyDescent="0.25">
      <c r="B255" s="37" t="s">
        <v>1</v>
      </c>
      <c r="C255" s="37"/>
      <c r="D255" s="37"/>
      <c r="E255" s="37"/>
      <c r="F255" s="37"/>
    </row>
    <row r="256" spans="2:6" x14ac:dyDescent="0.25">
      <c r="B256" s="14" t="s">
        <v>0</v>
      </c>
      <c r="C256" s="14"/>
      <c r="D256" s="14"/>
      <c r="E256" s="14"/>
      <c r="F256" s="14"/>
    </row>
    <row r="257" spans="2:6" ht="15" customHeight="1" x14ac:dyDescent="0.25">
      <c r="B257" s="12"/>
      <c r="C257" s="38" t="s">
        <v>25</v>
      </c>
      <c r="D257" s="38"/>
      <c r="E257" s="12">
        <v>370.1</v>
      </c>
      <c r="F257" s="12" t="s">
        <v>26</v>
      </c>
    </row>
    <row r="259" spans="2:6" ht="60" x14ac:dyDescent="0.25">
      <c r="B259" s="1" t="s">
        <v>2</v>
      </c>
      <c r="C259" s="1" t="s">
        <v>4</v>
      </c>
      <c r="D259" s="1" t="s">
        <v>3</v>
      </c>
      <c r="E259" s="1" t="s">
        <v>447</v>
      </c>
      <c r="F259" s="1" t="s">
        <v>5</v>
      </c>
    </row>
    <row r="260" spans="2:6" x14ac:dyDescent="0.25">
      <c r="B260" s="1"/>
      <c r="C260" s="1"/>
      <c r="D260" s="1"/>
      <c r="E260" s="1"/>
      <c r="F260" s="1"/>
    </row>
    <row r="261" spans="2:6" x14ac:dyDescent="0.25">
      <c r="B261" s="3" t="s">
        <v>6</v>
      </c>
      <c r="C261" s="1"/>
      <c r="D261" s="1"/>
      <c r="E261" s="1"/>
      <c r="F261" s="1"/>
    </row>
    <row r="262" spans="2:6" x14ac:dyDescent="0.25">
      <c r="B262" s="5" t="s">
        <v>7</v>
      </c>
      <c r="C262" s="1"/>
      <c r="D262" s="1"/>
      <c r="E262" s="1"/>
      <c r="F262" s="5">
        <v>2.0099999999999998</v>
      </c>
    </row>
    <row r="263" spans="2:6" x14ac:dyDescent="0.25">
      <c r="B263" s="5" t="s">
        <v>8</v>
      </c>
      <c r="C263" s="1"/>
      <c r="D263" s="1"/>
      <c r="E263" s="1"/>
      <c r="F263" s="5">
        <v>5.34</v>
      </c>
    </row>
    <row r="264" spans="2:6" x14ac:dyDescent="0.25">
      <c r="B264" s="15" t="s">
        <v>30</v>
      </c>
      <c r="C264" s="1"/>
      <c r="D264" s="1"/>
      <c r="E264" s="1"/>
      <c r="F264" s="5">
        <v>0.06</v>
      </c>
    </row>
    <row r="265" spans="2:6" ht="24.75" x14ac:dyDescent="0.25">
      <c r="B265" s="5" t="s">
        <v>11</v>
      </c>
      <c r="C265" s="1"/>
      <c r="D265" s="1"/>
      <c r="E265" s="1"/>
      <c r="F265" s="5">
        <v>0.55000000000000004</v>
      </c>
    </row>
    <row r="266" spans="2:6" ht="24.75" x14ac:dyDescent="0.25">
      <c r="B266" s="5" t="s">
        <v>12</v>
      </c>
      <c r="C266" s="1"/>
      <c r="D266" s="1"/>
      <c r="E266" s="1"/>
      <c r="F266" s="5">
        <v>0.53</v>
      </c>
    </row>
    <row r="267" spans="2:6" ht="24.75" x14ac:dyDescent="0.25">
      <c r="B267" s="5" t="s">
        <v>13</v>
      </c>
      <c r="C267" s="1"/>
      <c r="D267" s="1"/>
      <c r="E267" s="1"/>
      <c r="F267" s="5">
        <v>0.19</v>
      </c>
    </row>
    <row r="268" spans="2:6" ht="24.75" x14ac:dyDescent="0.25">
      <c r="B268" s="5" t="s">
        <v>14</v>
      </c>
      <c r="C268" s="1"/>
      <c r="D268" s="1"/>
      <c r="E268" s="1"/>
      <c r="F268" s="5">
        <v>1.25</v>
      </c>
    </row>
    <row r="269" spans="2:6" ht="24.75" x14ac:dyDescent="0.25">
      <c r="B269" s="5" t="s">
        <v>9</v>
      </c>
      <c r="C269" s="1"/>
      <c r="D269" s="1"/>
      <c r="E269" s="1"/>
      <c r="F269" s="5">
        <v>0.26</v>
      </c>
    </row>
    <row r="270" spans="2:6" ht="24.75" x14ac:dyDescent="0.25">
      <c r="B270" s="5" t="s">
        <v>15</v>
      </c>
      <c r="C270" s="1"/>
      <c r="D270" s="1"/>
      <c r="E270" s="1"/>
      <c r="F270" s="5">
        <v>0.27</v>
      </c>
    </row>
    <row r="271" spans="2:6" ht="24.75" x14ac:dyDescent="0.25">
      <c r="B271" s="5" t="s">
        <v>16</v>
      </c>
      <c r="C271" s="1"/>
      <c r="D271" s="1"/>
      <c r="E271" s="1"/>
      <c r="F271" s="5">
        <v>0.28999999999999998</v>
      </c>
    </row>
    <row r="272" spans="2:6" x14ac:dyDescent="0.25">
      <c r="B272" s="5" t="s">
        <v>17</v>
      </c>
      <c r="C272" s="1"/>
      <c r="D272" s="1"/>
      <c r="E272" s="1"/>
      <c r="F272" s="5">
        <v>0.32</v>
      </c>
    </row>
    <row r="273" spans="2:6" x14ac:dyDescent="0.25">
      <c r="B273" s="5" t="s">
        <v>18</v>
      </c>
      <c r="C273" s="1"/>
      <c r="D273" s="1"/>
      <c r="E273" s="1"/>
      <c r="F273" s="5">
        <v>1.97</v>
      </c>
    </row>
    <row r="274" spans="2:6" x14ac:dyDescent="0.25">
      <c r="B274" s="5" t="s">
        <v>19</v>
      </c>
      <c r="C274" s="1"/>
      <c r="D274" s="1"/>
      <c r="E274" s="1"/>
      <c r="F274" s="5">
        <v>3.95</v>
      </c>
    </row>
    <row r="275" spans="2:6" x14ac:dyDescent="0.25">
      <c r="B275" s="10" t="s">
        <v>20</v>
      </c>
      <c r="C275" s="1"/>
      <c r="D275" s="1"/>
      <c r="E275" s="1"/>
      <c r="F275" s="4">
        <f>SUM(F262:F274)</f>
        <v>16.989999999999998</v>
      </c>
    </row>
    <row r="276" spans="2:6" x14ac:dyDescent="0.25">
      <c r="B276" s="3" t="s">
        <v>21</v>
      </c>
      <c r="C276" s="1"/>
      <c r="D276" s="1"/>
      <c r="E276" s="1"/>
      <c r="F276" s="1"/>
    </row>
    <row r="277" spans="2:6" x14ac:dyDescent="0.25">
      <c r="B277" s="1" t="s">
        <v>347</v>
      </c>
      <c r="C277" s="1" t="s">
        <v>26</v>
      </c>
      <c r="D277" s="1">
        <v>544</v>
      </c>
      <c r="E277" s="1">
        <v>136</v>
      </c>
      <c r="F277" s="24">
        <f>E277/370.1*1000/12</f>
        <v>30.622354318652611</v>
      </c>
    </row>
    <row r="278" spans="2:6" x14ac:dyDescent="0.25">
      <c r="B278" s="1" t="s">
        <v>326</v>
      </c>
      <c r="C278" s="1" t="s">
        <v>26</v>
      </c>
      <c r="D278" s="1">
        <v>15</v>
      </c>
      <c r="E278" s="1">
        <v>22.5</v>
      </c>
      <c r="F278" s="24">
        <f t="shared" ref="F278:F289" si="6">E278/370.1*1000/12</f>
        <v>5.066198324777087</v>
      </c>
    </row>
    <row r="279" spans="2:6" x14ac:dyDescent="0.25">
      <c r="B279" s="1" t="s">
        <v>330</v>
      </c>
      <c r="C279" s="1" t="s">
        <v>261</v>
      </c>
      <c r="D279" s="1">
        <v>20</v>
      </c>
      <c r="E279" s="1">
        <v>26</v>
      </c>
      <c r="F279" s="24">
        <f t="shared" si="6"/>
        <v>5.8542736197424112</v>
      </c>
    </row>
    <row r="280" spans="2:6" x14ac:dyDescent="0.25">
      <c r="B280" s="1" t="s">
        <v>319</v>
      </c>
      <c r="C280" s="1" t="s">
        <v>261</v>
      </c>
      <c r="D280" s="1">
        <v>8</v>
      </c>
      <c r="E280" s="1">
        <v>10.4</v>
      </c>
      <c r="F280" s="24">
        <f t="shared" si="6"/>
        <v>2.3417094478969647</v>
      </c>
    </row>
    <row r="281" spans="2:6" x14ac:dyDescent="0.25">
      <c r="B281" s="1" t="s">
        <v>320</v>
      </c>
      <c r="C281" s="1" t="s">
        <v>261</v>
      </c>
      <c r="D281" s="1">
        <v>20</v>
      </c>
      <c r="E281" s="1">
        <v>38</v>
      </c>
      <c r="F281" s="24">
        <f t="shared" si="6"/>
        <v>8.5562460596235237</v>
      </c>
    </row>
    <row r="282" spans="2:6" x14ac:dyDescent="0.25">
      <c r="B282" s="1" t="s">
        <v>325</v>
      </c>
      <c r="C282" s="1" t="s">
        <v>261</v>
      </c>
      <c r="D282" s="1">
        <v>24</v>
      </c>
      <c r="E282" s="1">
        <v>45.6</v>
      </c>
      <c r="F282" s="24">
        <f t="shared" si="6"/>
        <v>10.267495271548229</v>
      </c>
    </row>
    <row r="283" spans="2:6" x14ac:dyDescent="0.25">
      <c r="B283" s="1" t="s">
        <v>321</v>
      </c>
      <c r="C283" s="1" t="s">
        <v>256</v>
      </c>
      <c r="D283" s="1">
        <v>1</v>
      </c>
      <c r="E283" s="1">
        <v>50</v>
      </c>
      <c r="F283" s="24">
        <f t="shared" si="6"/>
        <v>11.258218499504636</v>
      </c>
    </row>
    <row r="284" spans="2:6" x14ac:dyDescent="0.25">
      <c r="B284" s="1" t="s">
        <v>275</v>
      </c>
      <c r="C284" s="1" t="s">
        <v>26</v>
      </c>
      <c r="D284" s="1">
        <v>62</v>
      </c>
      <c r="E284" s="1">
        <v>93</v>
      </c>
      <c r="F284" s="24">
        <f t="shared" si="6"/>
        <v>20.940286409078627</v>
      </c>
    </row>
    <row r="285" spans="2:6" x14ac:dyDescent="0.25">
      <c r="B285" s="1" t="s">
        <v>352</v>
      </c>
      <c r="C285" s="1" t="s">
        <v>261</v>
      </c>
      <c r="D285" s="1">
        <v>120</v>
      </c>
      <c r="E285" s="1">
        <v>102</v>
      </c>
      <c r="F285" s="24">
        <f t="shared" si="6"/>
        <v>22.966765738989462</v>
      </c>
    </row>
    <row r="286" spans="2:6" x14ac:dyDescent="0.25">
      <c r="B286" s="1" t="s">
        <v>322</v>
      </c>
      <c r="C286" s="1" t="s">
        <v>261</v>
      </c>
      <c r="D286" s="1">
        <v>130</v>
      </c>
      <c r="E286" s="1">
        <v>156</v>
      </c>
      <c r="F286" s="24">
        <f t="shared" si="6"/>
        <v>35.125641718454467</v>
      </c>
    </row>
    <row r="287" spans="2:6" x14ac:dyDescent="0.25">
      <c r="B287" s="1" t="s">
        <v>323</v>
      </c>
      <c r="C287" s="1" t="s">
        <v>261</v>
      </c>
      <c r="D287" s="1">
        <v>140</v>
      </c>
      <c r="E287" s="1">
        <v>140</v>
      </c>
      <c r="F287" s="24">
        <f t="shared" si="6"/>
        <v>31.523011798612984</v>
      </c>
    </row>
    <row r="288" spans="2:6" x14ac:dyDescent="0.25">
      <c r="B288" s="1"/>
      <c r="C288" s="1"/>
      <c r="D288" s="1"/>
      <c r="E288" s="1"/>
      <c r="F288" s="24">
        <f t="shared" si="6"/>
        <v>0</v>
      </c>
    </row>
    <row r="289" spans="2:6" x14ac:dyDescent="0.25">
      <c r="B289" s="1"/>
      <c r="C289" s="1"/>
      <c r="D289" s="1"/>
      <c r="E289" s="1"/>
      <c r="F289" s="24">
        <f t="shared" si="6"/>
        <v>0</v>
      </c>
    </row>
    <row r="290" spans="2:6" x14ac:dyDescent="0.25">
      <c r="B290" s="10" t="s">
        <v>20</v>
      </c>
      <c r="C290" s="1"/>
      <c r="D290" s="1"/>
      <c r="E290" s="4">
        <f>SUM(E277:E289)</f>
        <v>819.5</v>
      </c>
      <c r="F290" s="22">
        <f>SUM(F277:F289)</f>
        <v>184.52220120688099</v>
      </c>
    </row>
    <row r="291" spans="2:6" x14ac:dyDescent="0.25">
      <c r="B291" s="4" t="s">
        <v>22</v>
      </c>
      <c r="C291" s="6"/>
      <c r="D291" s="6"/>
      <c r="E291" s="6"/>
      <c r="F291" s="23">
        <f>F275+F290</f>
        <v>201.512201206881</v>
      </c>
    </row>
    <row r="292" spans="2:6" x14ac:dyDescent="0.25">
      <c r="B292" s="7"/>
      <c r="C292" s="7"/>
      <c r="D292" s="7"/>
      <c r="E292" s="7"/>
      <c r="F292" s="7"/>
    </row>
    <row r="293" spans="2:6" x14ac:dyDescent="0.25">
      <c r="B293" s="13"/>
      <c r="C293" s="13"/>
      <c r="D293" s="13"/>
      <c r="E293" s="13"/>
      <c r="F293" s="13"/>
    </row>
    <row r="294" spans="2:6" x14ac:dyDescent="0.25">
      <c r="B294" s="13"/>
      <c r="C294" s="13"/>
      <c r="D294" s="13"/>
      <c r="E294" s="13"/>
      <c r="F294" s="13"/>
    </row>
    <row r="295" spans="2:6" ht="15" customHeight="1" x14ac:dyDescent="0.25">
      <c r="B295" s="39" t="s">
        <v>23</v>
      </c>
      <c r="C295" s="39"/>
      <c r="D295" s="39"/>
      <c r="E295" s="39" t="s">
        <v>24</v>
      </c>
      <c r="F295" s="39"/>
    </row>
    <row r="297" spans="2:6" ht="37.15" customHeight="1" x14ac:dyDescent="0.25">
      <c r="B297" s="37" t="s">
        <v>82</v>
      </c>
      <c r="C297" s="37"/>
      <c r="D297" s="37"/>
      <c r="E297" s="37"/>
      <c r="F297" s="37"/>
    </row>
    <row r="298" spans="2:6" ht="28.9" customHeight="1" x14ac:dyDescent="0.25">
      <c r="B298" s="37" t="s">
        <v>1</v>
      </c>
      <c r="C298" s="37"/>
      <c r="D298" s="37"/>
      <c r="E298" s="37"/>
      <c r="F298" s="37"/>
    </row>
    <row r="299" spans="2:6" x14ac:dyDescent="0.25">
      <c r="B299" s="14" t="s">
        <v>0</v>
      </c>
      <c r="C299" s="14"/>
      <c r="D299" s="14"/>
      <c r="E299" s="14"/>
      <c r="F299" s="14"/>
    </row>
    <row r="300" spans="2:6" ht="15" customHeight="1" x14ac:dyDescent="0.25">
      <c r="B300" s="12"/>
      <c r="C300" s="38" t="s">
        <v>25</v>
      </c>
      <c r="D300" s="38"/>
      <c r="E300" s="12">
        <v>364.2</v>
      </c>
      <c r="F300" s="12" t="s">
        <v>26</v>
      </c>
    </row>
    <row r="302" spans="2:6" ht="60" x14ac:dyDescent="0.25">
      <c r="B302" s="1" t="s">
        <v>2</v>
      </c>
      <c r="C302" s="1" t="s">
        <v>4</v>
      </c>
      <c r="D302" s="1" t="s">
        <v>3</v>
      </c>
      <c r="E302" s="1" t="s">
        <v>447</v>
      </c>
      <c r="F302" s="1" t="s">
        <v>5</v>
      </c>
    </row>
    <row r="303" spans="2:6" x14ac:dyDescent="0.25">
      <c r="B303" s="1"/>
      <c r="C303" s="1"/>
      <c r="D303" s="1"/>
      <c r="E303" s="1"/>
      <c r="F303" s="1"/>
    </row>
    <row r="304" spans="2:6" x14ac:dyDescent="0.25">
      <c r="B304" s="3" t="s">
        <v>6</v>
      </c>
      <c r="C304" s="1"/>
      <c r="D304" s="1"/>
      <c r="E304" s="1"/>
      <c r="F304" s="1"/>
    </row>
    <row r="305" spans="2:6" x14ac:dyDescent="0.25">
      <c r="B305" s="5" t="s">
        <v>7</v>
      </c>
      <c r="C305" s="1"/>
      <c r="D305" s="1"/>
      <c r="E305" s="1"/>
      <c r="F305" s="5">
        <v>2.0099999999999998</v>
      </c>
    </row>
    <row r="306" spans="2:6" x14ac:dyDescent="0.25">
      <c r="B306" s="5" t="s">
        <v>8</v>
      </c>
      <c r="C306" s="1"/>
      <c r="D306" s="1"/>
      <c r="E306" s="1"/>
      <c r="F306" s="5">
        <v>5.34</v>
      </c>
    </row>
    <row r="307" spans="2:6" ht="24.75" x14ac:dyDescent="0.25">
      <c r="B307" s="5" t="s">
        <v>11</v>
      </c>
      <c r="C307" s="1"/>
      <c r="D307" s="1"/>
      <c r="E307" s="1"/>
      <c r="F307" s="5">
        <v>0.55000000000000004</v>
      </c>
    </row>
    <row r="308" spans="2:6" ht="24.75" x14ac:dyDescent="0.25">
      <c r="B308" s="5" t="s">
        <v>12</v>
      </c>
      <c r="C308" s="1"/>
      <c r="D308" s="1"/>
      <c r="E308" s="1"/>
      <c r="F308" s="5">
        <v>0.53</v>
      </c>
    </row>
    <row r="309" spans="2:6" ht="24.75" x14ac:dyDescent="0.25">
      <c r="B309" s="5" t="s">
        <v>13</v>
      </c>
      <c r="C309" s="1"/>
      <c r="D309" s="1"/>
      <c r="E309" s="1"/>
      <c r="F309" s="5">
        <v>0.19</v>
      </c>
    </row>
    <row r="310" spans="2:6" ht="24.75" x14ac:dyDescent="0.25">
      <c r="B310" s="5" t="s">
        <v>14</v>
      </c>
      <c r="C310" s="1"/>
      <c r="D310" s="1"/>
      <c r="E310" s="1"/>
      <c r="F310" s="5">
        <v>1.25</v>
      </c>
    </row>
    <row r="311" spans="2:6" ht="24.75" x14ac:dyDescent="0.25">
      <c r="B311" s="5" t="s">
        <v>9</v>
      </c>
      <c r="C311" s="1"/>
      <c r="D311" s="1"/>
      <c r="E311" s="1"/>
      <c r="F311" s="5">
        <v>0.26</v>
      </c>
    </row>
    <row r="312" spans="2:6" ht="24.75" x14ac:dyDescent="0.25">
      <c r="B312" s="5" t="s">
        <v>15</v>
      </c>
      <c r="C312" s="1"/>
      <c r="D312" s="1"/>
      <c r="E312" s="1"/>
      <c r="F312" s="5">
        <v>0.27</v>
      </c>
    </row>
    <row r="313" spans="2:6" ht="24.75" x14ac:dyDescent="0.25">
      <c r="B313" s="5" t="s">
        <v>16</v>
      </c>
      <c r="C313" s="1"/>
      <c r="D313" s="1"/>
      <c r="E313" s="1"/>
      <c r="F313" s="5">
        <v>0.28999999999999998</v>
      </c>
    </row>
    <row r="314" spans="2:6" x14ac:dyDescent="0.25">
      <c r="B314" s="5" t="s">
        <v>17</v>
      </c>
      <c r="C314" s="1"/>
      <c r="D314" s="1"/>
      <c r="E314" s="1"/>
      <c r="F314" s="5">
        <v>0.32</v>
      </c>
    </row>
    <row r="315" spans="2:6" x14ac:dyDescent="0.25">
      <c r="B315" s="5" t="s">
        <v>18</v>
      </c>
      <c r="C315" s="1"/>
      <c r="D315" s="1"/>
      <c r="E315" s="1"/>
      <c r="F315" s="5">
        <v>1.97</v>
      </c>
    </row>
    <row r="316" spans="2:6" x14ac:dyDescent="0.25">
      <c r="B316" s="5" t="s">
        <v>19</v>
      </c>
      <c r="C316" s="1"/>
      <c r="D316" s="1"/>
      <c r="E316" s="1"/>
      <c r="F316" s="5">
        <v>3.95</v>
      </c>
    </row>
    <row r="317" spans="2:6" x14ac:dyDescent="0.25">
      <c r="B317" s="10" t="s">
        <v>20</v>
      </c>
      <c r="C317" s="1"/>
      <c r="D317" s="1"/>
      <c r="E317" s="1"/>
      <c r="F317" s="4">
        <f>SUM(F305:F316)</f>
        <v>16.93</v>
      </c>
    </row>
    <row r="318" spans="2:6" x14ac:dyDescent="0.25">
      <c r="B318" s="3" t="s">
        <v>21</v>
      </c>
      <c r="C318" s="1"/>
      <c r="D318" s="1"/>
      <c r="E318" s="1"/>
      <c r="F318" s="1"/>
    </row>
    <row r="319" spans="2:6" x14ac:dyDescent="0.25">
      <c r="B319" s="1" t="s">
        <v>329</v>
      </c>
      <c r="C319" s="1" t="s">
        <v>26</v>
      </c>
      <c r="D319" s="1">
        <v>430</v>
      </c>
      <c r="E319" s="1">
        <v>516</v>
      </c>
      <c r="F319" s="24">
        <f>E319/364.2*1000/12</f>
        <v>118.06699615595825</v>
      </c>
    </row>
    <row r="320" spans="2:6" x14ac:dyDescent="0.25">
      <c r="B320" s="1" t="s">
        <v>330</v>
      </c>
      <c r="C320" s="1" t="s">
        <v>261</v>
      </c>
      <c r="D320" s="1">
        <v>30</v>
      </c>
      <c r="E320" s="1">
        <v>39</v>
      </c>
      <c r="F320" s="24">
        <f t="shared" ref="F320:F331" si="7">E320/364.2*1000/12</f>
        <v>8.9236683141131241</v>
      </c>
    </row>
    <row r="321" spans="2:6" x14ac:dyDescent="0.25">
      <c r="B321" s="1" t="s">
        <v>319</v>
      </c>
      <c r="C321" s="1" t="s">
        <v>261</v>
      </c>
      <c r="D321" s="1">
        <v>12</v>
      </c>
      <c r="E321" s="1">
        <v>15.6</v>
      </c>
      <c r="F321" s="24">
        <f t="shared" si="7"/>
        <v>3.5694673256452503</v>
      </c>
    </row>
    <row r="322" spans="2:6" x14ac:dyDescent="0.25">
      <c r="B322" s="1" t="s">
        <v>320</v>
      </c>
      <c r="C322" s="1" t="s">
        <v>261</v>
      </c>
      <c r="D322" s="1">
        <v>30</v>
      </c>
      <c r="E322" s="1">
        <v>57</v>
      </c>
      <c r="F322" s="24">
        <f t="shared" si="7"/>
        <v>13.042284459088414</v>
      </c>
    </row>
    <row r="323" spans="2:6" x14ac:dyDescent="0.25">
      <c r="B323" s="1" t="s">
        <v>325</v>
      </c>
      <c r="C323" s="1" t="s">
        <v>261</v>
      </c>
      <c r="D323" s="1">
        <v>24</v>
      </c>
      <c r="E323" s="1">
        <v>45.6</v>
      </c>
      <c r="F323" s="24">
        <f t="shared" si="7"/>
        <v>10.433827567270731</v>
      </c>
    </row>
    <row r="324" spans="2:6" x14ac:dyDescent="0.25">
      <c r="B324" s="1" t="s">
        <v>343</v>
      </c>
      <c r="C324" s="1" t="s">
        <v>256</v>
      </c>
      <c r="D324" s="1">
        <v>2</v>
      </c>
      <c r="E324" s="1">
        <v>100</v>
      </c>
      <c r="F324" s="24">
        <f t="shared" si="7"/>
        <v>22.881200805418271</v>
      </c>
    </row>
    <row r="325" spans="2:6" x14ac:dyDescent="0.25">
      <c r="B325" s="1" t="s">
        <v>322</v>
      </c>
      <c r="C325" s="1" t="s">
        <v>261</v>
      </c>
      <c r="D325" s="1">
        <v>120</v>
      </c>
      <c r="E325" s="1">
        <v>144</v>
      </c>
      <c r="F325" s="24">
        <f t="shared" si="7"/>
        <v>32.948929159802312</v>
      </c>
    </row>
    <row r="326" spans="2:6" x14ac:dyDescent="0.25">
      <c r="B326" s="1" t="s">
        <v>375</v>
      </c>
      <c r="C326" s="1" t="s">
        <v>261</v>
      </c>
      <c r="D326" s="1">
        <v>160</v>
      </c>
      <c r="E326" s="1">
        <v>160</v>
      </c>
      <c r="F326" s="24">
        <f t="shared" si="7"/>
        <v>36.609921288669234</v>
      </c>
    </row>
    <row r="327" spans="2:6" x14ac:dyDescent="0.25">
      <c r="B327" s="1" t="s">
        <v>275</v>
      </c>
      <c r="C327" s="1" t="s">
        <v>26</v>
      </c>
      <c r="D327" s="1">
        <v>74</v>
      </c>
      <c r="E327" s="1">
        <v>111</v>
      </c>
      <c r="F327" s="24">
        <f t="shared" si="7"/>
        <v>25.398132894014278</v>
      </c>
    </row>
    <row r="328" spans="2:6" x14ac:dyDescent="0.25">
      <c r="B328" s="1"/>
      <c r="C328" s="1"/>
      <c r="D328" s="1"/>
      <c r="E328" s="1"/>
      <c r="F328" s="24">
        <f t="shared" si="7"/>
        <v>0</v>
      </c>
    </row>
    <row r="329" spans="2:6" x14ac:dyDescent="0.25">
      <c r="B329" s="1"/>
      <c r="C329" s="1"/>
      <c r="D329" s="1"/>
      <c r="E329" s="1"/>
      <c r="F329" s="24">
        <f t="shared" si="7"/>
        <v>0</v>
      </c>
    </row>
    <row r="330" spans="2:6" x14ac:dyDescent="0.25">
      <c r="B330" s="1"/>
      <c r="C330" s="1"/>
      <c r="D330" s="1"/>
      <c r="E330" s="1"/>
      <c r="F330" s="24">
        <f t="shared" si="7"/>
        <v>0</v>
      </c>
    </row>
    <row r="331" spans="2:6" x14ac:dyDescent="0.25">
      <c r="B331" s="1"/>
      <c r="C331" s="1"/>
      <c r="D331" s="1"/>
      <c r="E331" s="1"/>
      <c r="F331" s="24">
        <f t="shared" si="7"/>
        <v>0</v>
      </c>
    </row>
    <row r="332" spans="2:6" x14ac:dyDescent="0.25">
      <c r="B332" s="10" t="s">
        <v>20</v>
      </c>
      <c r="C332" s="1"/>
      <c r="D332" s="1"/>
      <c r="E332" s="4">
        <f>SUM(E319:E331)</f>
        <v>1188.2</v>
      </c>
      <c r="F332" s="22">
        <f>SUM(F319:F331)</f>
        <v>271.87442796997988</v>
      </c>
    </row>
    <row r="333" spans="2:6" x14ac:dyDescent="0.25">
      <c r="B333" s="4" t="s">
        <v>22</v>
      </c>
      <c r="C333" s="6"/>
      <c r="D333" s="6"/>
      <c r="E333" s="6"/>
      <c r="F333" s="23">
        <f>F317+F332</f>
        <v>288.80442796997988</v>
      </c>
    </row>
    <row r="334" spans="2:6" x14ac:dyDescent="0.25">
      <c r="B334" s="7"/>
      <c r="C334" s="7"/>
      <c r="D334" s="7"/>
      <c r="E334" s="7"/>
      <c r="F334" s="7"/>
    </row>
    <row r="335" spans="2:6" x14ac:dyDescent="0.25">
      <c r="B335" s="13"/>
      <c r="C335" s="13"/>
      <c r="D335" s="13"/>
      <c r="E335" s="13"/>
      <c r="F335" s="13"/>
    </row>
    <row r="336" spans="2:6" x14ac:dyDescent="0.25">
      <c r="B336" s="13"/>
      <c r="C336" s="13"/>
      <c r="D336" s="13"/>
      <c r="E336" s="13"/>
      <c r="F336" s="13"/>
    </row>
    <row r="337" spans="2:6" ht="15" customHeight="1" x14ac:dyDescent="0.25">
      <c r="B337" s="39" t="s">
        <v>23</v>
      </c>
      <c r="C337" s="39"/>
      <c r="D337" s="39"/>
      <c r="E337" s="39" t="s">
        <v>24</v>
      </c>
      <c r="F337" s="39"/>
    </row>
    <row r="339" spans="2:6" ht="32.450000000000003" customHeight="1" x14ac:dyDescent="0.25">
      <c r="B339" s="37" t="s">
        <v>83</v>
      </c>
      <c r="C339" s="37"/>
      <c r="D339" s="37"/>
      <c r="E339" s="37"/>
      <c r="F339" s="37"/>
    </row>
    <row r="340" spans="2:6" ht="28.15" customHeight="1" x14ac:dyDescent="0.25">
      <c r="B340" s="37" t="s">
        <v>1</v>
      </c>
      <c r="C340" s="37"/>
      <c r="D340" s="37"/>
      <c r="E340" s="37"/>
      <c r="F340" s="37"/>
    </row>
    <row r="341" spans="2:6" x14ac:dyDescent="0.25">
      <c r="B341" s="14" t="s">
        <v>0</v>
      </c>
      <c r="C341" s="14"/>
      <c r="D341" s="14"/>
      <c r="E341" s="14"/>
      <c r="F341" s="14"/>
    </row>
    <row r="342" spans="2:6" ht="15" customHeight="1" x14ac:dyDescent="0.25">
      <c r="B342" s="12"/>
      <c r="C342" s="38" t="s">
        <v>25</v>
      </c>
      <c r="D342" s="38"/>
      <c r="E342" s="12">
        <v>379.9</v>
      </c>
      <c r="F342" s="12" t="s">
        <v>26</v>
      </c>
    </row>
    <row r="344" spans="2:6" ht="60" x14ac:dyDescent="0.25">
      <c r="B344" s="1" t="s">
        <v>2</v>
      </c>
      <c r="C344" s="1" t="s">
        <v>4</v>
      </c>
      <c r="D344" s="1" t="s">
        <v>3</v>
      </c>
      <c r="E344" s="1" t="s">
        <v>447</v>
      </c>
      <c r="F344" s="1" t="s">
        <v>5</v>
      </c>
    </row>
    <row r="345" spans="2:6" x14ac:dyDescent="0.25">
      <c r="B345" s="1"/>
      <c r="C345" s="1"/>
      <c r="D345" s="1"/>
      <c r="E345" s="1"/>
      <c r="F345" s="1"/>
    </row>
    <row r="346" spans="2:6" x14ac:dyDescent="0.25">
      <c r="B346" s="3" t="s">
        <v>6</v>
      </c>
      <c r="C346" s="1"/>
      <c r="D346" s="1"/>
      <c r="E346" s="1"/>
      <c r="F346" s="1"/>
    </row>
    <row r="347" spans="2:6" x14ac:dyDescent="0.25">
      <c r="B347" s="5" t="s">
        <v>7</v>
      </c>
      <c r="C347" s="1"/>
      <c r="D347" s="1"/>
      <c r="E347" s="1"/>
      <c r="F347" s="5">
        <v>2.0099999999999998</v>
      </c>
    </row>
    <row r="348" spans="2:6" x14ac:dyDescent="0.25">
      <c r="B348" s="5" t="s">
        <v>8</v>
      </c>
      <c r="C348" s="1"/>
      <c r="D348" s="1"/>
      <c r="E348" s="1"/>
      <c r="F348" s="5">
        <v>5.34</v>
      </c>
    </row>
    <row r="349" spans="2:6" ht="24.75" x14ac:dyDescent="0.25">
      <c r="B349" s="5" t="s">
        <v>11</v>
      </c>
      <c r="C349" s="1"/>
      <c r="D349" s="1"/>
      <c r="E349" s="1"/>
      <c r="F349" s="5">
        <v>0.55000000000000004</v>
      </c>
    </row>
    <row r="350" spans="2:6" ht="24.75" x14ac:dyDescent="0.25">
      <c r="B350" s="5" t="s">
        <v>12</v>
      </c>
      <c r="C350" s="1"/>
      <c r="D350" s="1"/>
      <c r="E350" s="1"/>
      <c r="F350" s="5">
        <v>0.53</v>
      </c>
    </row>
    <row r="351" spans="2:6" ht="24.75" x14ac:dyDescent="0.25">
      <c r="B351" s="5" t="s">
        <v>13</v>
      </c>
      <c r="C351" s="1"/>
      <c r="D351" s="1"/>
      <c r="E351" s="1"/>
      <c r="F351" s="5">
        <v>0.19</v>
      </c>
    </row>
    <row r="352" spans="2:6" ht="24.75" x14ac:dyDescent="0.25">
      <c r="B352" s="5" t="s">
        <v>14</v>
      </c>
      <c r="C352" s="1"/>
      <c r="D352" s="1"/>
      <c r="E352" s="1"/>
      <c r="F352" s="5">
        <v>1.25</v>
      </c>
    </row>
    <row r="353" spans="2:6" ht="24.75" x14ac:dyDescent="0.25">
      <c r="B353" s="5" t="s">
        <v>9</v>
      </c>
      <c r="C353" s="1"/>
      <c r="D353" s="1"/>
      <c r="E353" s="1"/>
      <c r="F353" s="5">
        <v>0.26</v>
      </c>
    </row>
    <row r="354" spans="2:6" ht="24.75" x14ac:dyDescent="0.25">
      <c r="B354" s="5" t="s">
        <v>15</v>
      </c>
      <c r="C354" s="1"/>
      <c r="D354" s="1"/>
      <c r="E354" s="1"/>
      <c r="F354" s="5">
        <v>0.27</v>
      </c>
    </row>
    <row r="355" spans="2:6" ht="24.75" x14ac:dyDescent="0.25">
      <c r="B355" s="5" t="s">
        <v>16</v>
      </c>
      <c r="C355" s="1"/>
      <c r="D355" s="1"/>
      <c r="E355" s="1"/>
      <c r="F355" s="5">
        <v>0.28999999999999998</v>
      </c>
    </row>
    <row r="356" spans="2:6" x14ac:dyDescent="0.25">
      <c r="B356" s="5" t="s">
        <v>17</v>
      </c>
      <c r="C356" s="1"/>
      <c r="D356" s="1"/>
      <c r="E356" s="1"/>
      <c r="F356" s="5">
        <v>0.32</v>
      </c>
    </row>
    <row r="357" spans="2:6" x14ac:dyDescent="0.25">
      <c r="B357" s="5" t="s">
        <v>18</v>
      </c>
      <c r="C357" s="1"/>
      <c r="D357" s="1"/>
      <c r="E357" s="1"/>
      <c r="F357" s="5">
        <v>1.97</v>
      </c>
    </row>
    <row r="358" spans="2:6" x14ac:dyDescent="0.25">
      <c r="B358" s="5" t="s">
        <v>19</v>
      </c>
      <c r="C358" s="1"/>
      <c r="D358" s="1"/>
      <c r="E358" s="1"/>
      <c r="F358" s="5">
        <v>3.95</v>
      </c>
    </row>
    <row r="359" spans="2:6" x14ac:dyDescent="0.25">
      <c r="B359" s="10" t="s">
        <v>20</v>
      </c>
      <c r="C359" s="1"/>
      <c r="D359" s="1"/>
      <c r="E359" s="1"/>
      <c r="F359" s="4">
        <f>SUM(F347:F358)</f>
        <v>16.93</v>
      </c>
    </row>
    <row r="360" spans="2:6" x14ac:dyDescent="0.25">
      <c r="B360" s="3" t="s">
        <v>21</v>
      </c>
      <c r="C360" s="1"/>
      <c r="D360" s="1"/>
      <c r="E360" s="1"/>
      <c r="F360" s="1"/>
    </row>
    <row r="361" spans="2:6" x14ac:dyDescent="0.25">
      <c r="B361" s="1" t="s">
        <v>352</v>
      </c>
      <c r="C361" s="1" t="s">
        <v>261</v>
      </c>
      <c r="D361" s="1">
        <v>105</v>
      </c>
      <c r="E361" s="1">
        <v>89</v>
      </c>
      <c r="F361" s="24">
        <f>E361/379.9*1000/12</f>
        <v>19.52268140738791</v>
      </c>
    </row>
    <row r="362" spans="2:6" x14ac:dyDescent="0.25">
      <c r="B362" s="1" t="s">
        <v>326</v>
      </c>
      <c r="C362" s="1" t="s">
        <v>26</v>
      </c>
      <c r="D362" s="1">
        <v>12</v>
      </c>
      <c r="E362" s="1">
        <v>18</v>
      </c>
      <c r="F362" s="24">
        <f t="shared" ref="F362:F373" si="8">E362/379.9*1000/12</f>
        <v>3.9484074756514875</v>
      </c>
    </row>
    <row r="363" spans="2:6" x14ac:dyDescent="0.25">
      <c r="B363" s="1" t="s">
        <v>318</v>
      </c>
      <c r="C363" s="1" t="s">
        <v>26</v>
      </c>
      <c r="D363" s="1">
        <v>544</v>
      </c>
      <c r="E363" s="1">
        <v>435.2</v>
      </c>
      <c r="F363" s="24">
        <f t="shared" si="8"/>
        <v>95.463718522418176</v>
      </c>
    </row>
    <row r="364" spans="2:6" x14ac:dyDescent="0.25">
      <c r="B364" s="1"/>
      <c r="C364" s="1"/>
      <c r="D364" s="1"/>
      <c r="E364" s="1"/>
      <c r="F364" s="24"/>
    </row>
    <row r="365" spans="2:6" x14ac:dyDescent="0.25">
      <c r="B365" s="1" t="s">
        <v>390</v>
      </c>
      <c r="C365" s="1" t="s">
        <v>261</v>
      </c>
      <c r="D365" s="1">
        <v>12</v>
      </c>
      <c r="E365" s="1">
        <v>15.6</v>
      </c>
      <c r="F365" s="24">
        <f t="shared" si="8"/>
        <v>3.4219531455646224</v>
      </c>
    </row>
    <row r="366" spans="2:6" x14ac:dyDescent="0.25">
      <c r="B366" s="1" t="s">
        <v>396</v>
      </c>
      <c r="C366" s="1" t="s">
        <v>261</v>
      </c>
      <c r="D366" s="1">
        <v>10</v>
      </c>
      <c r="E366" s="1">
        <v>13</v>
      </c>
      <c r="F366" s="24">
        <f t="shared" si="8"/>
        <v>2.8516276213038521</v>
      </c>
    </row>
    <row r="367" spans="2:6" x14ac:dyDescent="0.25">
      <c r="B367" s="1" t="s">
        <v>320</v>
      </c>
      <c r="C367" s="1" t="s">
        <v>261</v>
      </c>
      <c r="D367" s="1">
        <v>20</v>
      </c>
      <c r="E367" s="1">
        <v>38</v>
      </c>
      <c r="F367" s="24">
        <f t="shared" si="8"/>
        <v>8.3355268930420277</v>
      </c>
    </row>
    <row r="368" spans="2:6" x14ac:dyDescent="0.25">
      <c r="B368" s="1" t="s">
        <v>325</v>
      </c>
      <c r="C368" s="1" t="s">
        <v>261</v>
      </c>
      <c r="D368" s="1">
        <v>24</v>
      </c>
      <c r="E368" s="1">
        <v>45.6</v>
      </c>
      <c r="F368" s="24">
        <f t="shared" si="8"/>
        <v>10.002632271650436</v>
      </c>
    </row>
    <row r="369" spans="2:6" x14ac:dyDescent="0.25">
      <c r="B369" s="1" t="s">
        <v>389</v>
      </c>
      <c r="C369" s="1" t="s">
        <v>261</v>
      </c>
      <c r="D369" s="1">
        <v>130</v>
      </c>
      <c r="E369" s="1">
        <v>156</v>
      </c>
      <c r="F369" s="24">
        <f t="shared" si="8"/>
        <v>34.219531455646226</v>
      </c>
    </row>
    <row r="370" spans="2:6" x14ac:dyDescent="0.25">
      <c r="B370" s="1" t="s">
        <v>323</v>
      </c>
      <c r="C370" s="1" t="s">
        <v>261</v>
      </c>
      <c r="D370" s="1">
        <v>140</v>
      </c>
      <c r="E370" s="1">
        <v>140</v>
      </c>
      <c r="F370" s="24">
        <f t="shared" si="8"/>
        <v>30.709835921733788</v>
      </c>
    </row>
    <row r="371" spans="2:6" x14ac:dyDescent="0.25">
      <c r="B371" s="1" t="s">
        <v>275</v>
      </c>
      <c r="C371" s="1" t="s">
        <v>26</v>
      </c>
      <c r="D371" s="1">
        <v>62</v>
      </c>
      <c r="E371" s="1">
        <v>93</v>
      </c>
      <c r="F371" s="24">
        <f t="shared" si="8"/>
        <v>20.400105290866019</v>
      </c>
    </row>
    <row r="372" spans="2:6" x14ac:dyDescent="0.25">
      <c r="B372" s="1"/>
      <c r="C372" s="1"/>
      <c r="D372" s="1"/>
      <c r="E372" s="1"/>
      <c r="F372" s="24">
        <f t="shared" si="8"/>
        <v>0</v>
      </c>
    </row>
    <row r="373" spans="2:6" x14ac:dyDescent="0.25">
      <c r="B373" s="1"/>
      <c r="C373" s="1"/>
      <c r="D373" s="1"/>
      <c r="E373" s="1"/>
      <c r="F373" s="24">
        <f t="shared" si="8"/>
        <v>0</v>
      </c>
    </row>
    <row r="374" spans="2:6" x14ac:dyDescent="0.25">
      <c r="B374" s="10" t="s">
        <v>20</v>
      </c>
      <c r="C374" s="1"/>
      <c r="D374" s="1"/>
      <c r="E374" s="4">
        <f>SUM(E361:E373)</f>
        <v>1043.4000000000001</v>
      </c>
      <c r="F374" s="22">
        <f>SUM(F361:F373)</f>
        <v>228.87602000526456</v>
      </c>
    </row>
    <row r="375" spans="2:6" x14ac:dyDescent="0.25">
      <c r="B375" s="4" t="s">
        <v>22</v>
      </c>
      <c r="C375" s="6"/>
      <c r="D375" s="6"/>
      <c r="E375" s="6"/>
      <c r="F375" s="23">
        <f>F359+F374</f>
        <v>245.80602000526457</v>
      </c>
    </row>
    <row r="376" spans="2:6" x14ac:dyDescent="0.25">
      <c r="B376" s="7"/>
      <c r="C376" s="7"/>
      <c r="D376" s="7"/>
      <c r="E376" s="7"/>
      <c r="F376" s="7"/>
    </row>
    <row r="377" spans="2:6" x14ac:dyDescent="0.25">
      <c r="B377" s="13"/>
      <c r="C377" s="13"/>
      <c r="D377" s="13"/>
      <c r="E377" s="13"/>
      <c r="F377" s="13"/>
    </row>
    <row r="378" spans="2:6" x14ac:dyDescent="0.25">
      <c r="B378" s="13"/>
      <c r="C378" s="13"/>
      <c r="D378" s="13"/>
      <c r="E378" s="13"/>
      <c r="F378" s="13"/>
    </row>
    <row r="379" spans="2:6" ht="15" customHeight="1" x14ac:dyDescent="0.25">
      <c r="B379" s="39" t="s">
        <v>23</v>
      </c>
      <c r="C379" s="39"/>
      <c r="D379" s="39"/>
      <c r="E379" s="39" t="s">
        <v>24</v>
      </c>
      <c r="F379" s="39"/>
    </row>
    <row r="381" spans="2:6" ht="33" customHeight="1" x14ac:dyDescent="0.25">
      <c r="B381" s="37" t="s">
        <v>84</v>
      </c>
      <c r="C381" s="37"/>
      <c r="D381" s="37"/>
      <c r="E381" s="37"/>
      <c r="F381" s="37"/>
    </row>
    <row r="382" spans="2:6" ht="31.9" customHeight="1" x14ac:dyDescent="0.25">
      <c r="B382" s="37" t="s">
        <v>1</v>
      </c>
      <c r="C382" s="37"/>
      <c r="D382" s="37"/>
      <c r="E382" s="37"/>
      <c r="F382" s="37"/>
    </row>
    <row r="383" spans="2:6" x14ac:dyDescent="0.25">
      <c r="B383" s="14" t="s">
        <v>0</v>
      </c>
      <c r="C383" s="14"/>
      <c r="D383" s="14"/>
      <c r="E383" s="14"/>
      <c r="F383" s="14"/>
    </row>
    <row r="384" spans="2:6" ht="15" customHeight="1" x14ac:dyDescent="0.25">
      <c r="B384" s="12"/>
      <c r="C384" s="38" t="s">
        <v>25</v>
      </c>
      <c r="D384" s="38"/>
      <c r="E384" s="12">
        <v>377.4</v>
      </c>
      <c r="F384" s="12" t="s">
        <v>26</v>
      </c>
    </row>
    <row r="386" spans="2:6" ht="60" x14ac:dyDescent="0.25">
      <c r="B386" s="1" t="s">
        <v>2</v>
      </c>
      <c r="C386" s="1" t="s">
        <v>4</v>
      </c>
      <c r="D386" s="1" t="s">
        <v>3</v>
      </c>
      <c r="E386" s="1" t="s">
        <v>447</v>
      </c>
      <c r="F386" s="1" t="s">
        <v>5</v>
      </c>
    </row>
    <row r="387" spans="2:6" x14ac:dyDescent="0.25">
      <c r="B387" s="1"/>
      <c r="C387" s="1"/>
      <c r="D387" s="1"/>
      <c r="E387" s="1"/>
      <c r="F387" s="1"/>
    </row>
    <row r="388" spans="2:6" x14ac:dyDescent="0.25">
      <c r="B388" s="3" t="s">
        <v>6</v>
      </c>
      <c r="C388" s="1"/>
      <c r="D388" s="1"/>
      <c r="E388" s="1"/>
      <c r="F388" s="1"/>
    </row>
    <row r="389" spans="2:6" x14ac:dyDescent="0.25">
      <c r="B389" s="5" t="s">
        <v>7</v>
      </c>
      <c r="C389" s="1"/>
      <c r="D389" s="1"/>
      <c r="E389" s="1"/>
      <c r="F389" s="5">
        <v>2.0099999999999998</v>
      </c>
    </row>
    <row r="390" spans="2:6" x14ac:dyDescent="0.25">
      <c r="B390" s="5" t="s">
        <v>8</v>
      </c>
      <c r="C390" s="1"/>
      <c r="D390" s="1"/>
      <c r="E390" s="1"/>
      <c r="F390" s="5">
        <v>5.34</v>
      </c>
    </row>
    <row r="391" spans="2:6" ht="24.75" x14ac:dyDescent="0.25">
      <c r="B391" s="5" t="s">
        <v>11</v>
      </c>
      <c r="C391" s="1"/>
      <c r="D391" s="1"/>
      <c r="E391" s="1"/>
      <c r="F391" s="5">
        <v>0.55000000000000004</v>
      </c>
    </row>
    <row r="392" spans="2:6" ht="24.75" x14ac:dyDescent="0.25">
      <c r="B392" s="5" t="s">
        <v>12</v>
      </c>
      <c r="C392" s="1"/>
      <c r="D392" s="1"/>
      <c r="E392" s="1"/>
      <c r="F392" s="5">
        <v>0.53</v>
      </c>
    </row>
    <row r="393" spans="2:6" ht="24.75" x14ac:dyDescent="0.25">
      <c r="B393" s="5" t="s">
        <v>13</v>
      </c>
      <c r="C393" s="1"/>
      <c r="D393" s="1"/>
      <c r="E393" s="1"/>
      <c r="F393" s="5">
        <v>0.19</v>
      </c>
    </row>
    <row r="394" spans="2:6" ht="24.75" x14ac:dyDescent="0.25">
      <c r="B394" s="5" t="s">
        <v>14</v>
      </c>
      <c r="C394" s="1"/>
      <c r="D394" s="1"/>
      <c r="E394" s="1"/>
      <c r="F394" s="5">
        <v>1.25</v>
      </c>
    </row>
    <row r="395" spans="2:6" ht="24.75" x14ac:dyDescent="0.25">
      <c r="B395" s="5" t="s">
        <v>9</v>
      </c>
      <c r="C395" s="1"/>
      <c r="D395" s="1"/>
      <c r="E395" s="1"/>
      <c r="F395" s="5">
        <v>0.26</v>
      </c>
    </row>
    <row r="396" spans="2:6" ht="24.75" x14ac:dyDescent="0.25">
      <c r="B396" s="5" t="s">
        <v>15</v>
      </c>
      <c r="C396" s="1"/>
      <c r="D396" s="1"/>
      <c r="E396" s="1"/>
      <c r="F396" s="5">
        <v>0.27</v>
      </c>
    </row>
    <row r="397" spans="2:6" ht="24.75" x14ac:dyDescent="0.25">
      <c r="B397" s="5" t="s">
        <v>16</v>
      </c>
      <c r="C397" s="1"/>
      <c r="D397" s="1"/>
      <c r="E397" s="1"/>
      <c r="F397" s="5">
        <v>0.28999999999999998</v>
      </c>
    </row>
    <row r="398" spans="2:6" x14ac:dyDescent="0.25">
      <c r="B398" s="5" t="s">
        <v>17</v>
      </c>
      <c r="C398" s="1"/>
      <c r="D398" s="1"/>
      <c r="E398" s="1"/>
      <c r="F398" s="5">
        <v>0.32</v>
      </c>
    </row>
    <row r="399" spans="2:6" x14ac:dyDescent="0.25">
      <c r="B399" s="5" t="s">
        <v>18</v>
      </c>
      <c r="C399" s="1"/>
      <c r="D399" s="1"/>
      <c r="E399" s="1"/>
      <c r="F399" s="5">
        <v>1.97</v>
      </c>
    </row>
    <row r="400" spans="2:6" x14ac:dyDescent="0.25">
      <c r="B400" s="5" t="s">
        <v>19</v>
      </c>
      <c r="C400" s="1"/>
      <c r="D400" s="1"/>
      <c r="E400" s="1"/>
      <c r="F400" s="5">
        <v>3.95</v>
      </c>
    </row>
    <row r="401" spans="2:6" x14ac:dyDescent="0.25">
      <c r="B401" s="10" t="s">
        <v>20</v>
      </c>
      <c r="C401" s="1"/>
      <c r="D401" s="1"/>
      <c r="E401" s="1"/>
      <c r="F401" s="4">
        <f>SUM(F389:F400)</f>
        <v>16.93</v>
      </c>
    </row>
    <row r="402" spans="2:6" x14ac:dyDescent="0.25">
      <c r="B402" s="3" t="s">
        <v>21</v>
      </c>
      <c r="C402" s="1"/>
      <c r="D402" s="1"/>
      <c r="E402" s="1"/>
      <c r="F402" s="1"/>
    </row>
    <row r="403" spans="2:6" x14ac:dyDescent="0.25">
      <c r="B403" s="1" t="s">
        <v>275</v>
      </c>
      <c r="C403" s="1" t="s">
        <v>26</v>
      </c>
      <c r="D403" s="1">
        <v>42</v>
      </c>
      <c r="E403" s="1">
        <v>63</v>
      </c>
      <c r="F403" s="24">
        <f>E403/377.4*1000/12</f>
        <v>13.910969793322735</v>
      </c>
    </row>
    <row r="404" spans="2:6" x14ac:dyDescent="0.25">
      <c r="B404" s="1" t="s">
        <v>393</v>
      </c>
      <c r="C404" s="1" t="s">
        <v>261</v>
      </c>
      <c r="D404" s="1">
        <v>55</v>
      </c>
      <c r="E404" s="1">
        <v>47</v>
      </c>
      <c r="F404" s="24">
        <f t="shared" ref="F404:F415" si="9">E404/377.4*1000/12</f>
        <v>10.378025083907438</v>
      </c>
    </row>
    <row r="405" spans="2:6" x14ac:dyDescent="0.25">
      <c r="B405" s="1" t="s">
        <v>318</v>
      </c>
      <c r="C405" s="1" t="s">
        <v>26</v>
      </c>
      <c r="D405" s="1">
        <v>50</v>
      </c>
      <c r="E405" s="1">
        <v>40</v>
      </c>
      <c r="F405" s="24">
        <f t="shared" si="9"/>
        <v>8.8323617735382438</v>
      </c>
    </row>
    <row r="406" spans="2:6" x14ac:dyDescent="0.25">
      <c r="B406" s="1" t="s">
        <v>320</v>
      </c>
      <c r="C406" s="1" t="s">
        <v>261</v>
      </c>
      <c r="D406" s="1">
        <v>30</v>
      </c>
      <c r="E406" s="1">
        <v>57</v>
      </c>
      <c r="F406" s="24">
        <f t="shared" si="9"/>
        <v>12.586115527292</v>
      </c>
    </row>
    <row r="407" spans="2:6" x14ac:dyDescent="0.25">
      <c r="B407" s="1" t="s">
        <v>377</v>
      </c>
      <c r="C407" s="1" t="s">
        <v>261</v>
      </c>
      <c r="D407" s="1">
        <v>24</v>
      </c>
      <c r="E407" s="1">
        <v>45.6</v>
      </c>
      <c r="F407" s="24">
        <f t="shared" si="9"/>
        <v>10.068892421833599</v>
      </c>
    </row>
    <row r="408" spans="2:6" x14ac:dyDescent="0.25">
      <c r="B408" s="1" t="s">
        <v>343</v>
      </c>
      <c r="C408" s="1" t="s">
        <v>256</v>
      </c>
      <c r="D408" s="1">
        <v>2</v>
      </c>
      <c r="E408" s="1">
        <v>100</v>
      </c>
      <c r="F408" s="24">
        <f t="shared" si="9"/>
        <v>22.080904433845614</v>
      </c>
    </row>
    <row r="409" spans="2:6" x14ac:dyDescent="0.25">
      <c r="B409" s="1" t="s">
        <v>322</v>
      </c>
      <c r="C409" s="1" t="s">
        <v>261</v>
      </c>
      <c r="D409" s="1">
        <v>120</v>
      </c>
      <c r="E409" s="1">
        <v>144</v>
      </c>
      <c r="F409" s="24">
        <f t="shared" si="9"/>
        <v>31.796502384737682</v>
      </c>
    </row>
    <row r="410" spans="2:6" x14ac:dyDescent="0.25">
      <c r="B410" s="1" t="s">
        <v>323</v>
      </c>
      <c r="C410" s="1" t="s">
        <v>261</v>
      </c>
      <c r="D410" s="1">
        <v>160</v>
      </c>
      <c r="E410" s="1">
        <v>160</v>
      </c>
      <c r="F410" s="24">
        <f t="shared" si="9"/>
        <v>35.329447094152975</v>
      </c>
    </row>
    <row r="411" spans="2:6" x14ac:dyDescent="0.25">
      <c r="B411" s="1"/>
      <c r="C411" s="1"/>
      <c r="D411" s="1"/>
      <c r="E411" s="1"/>
      <c r="F411" s="24">
        <f t="shared" si="9"/>
        <v>0</v>
      </c>
    </row>
    <row r="412" spans="2:6" x14ac:dyDescent="0.25">
      <c r="B412" s="1"/>
      <c r="C412" s="1"/>
      <c r="D412" s="1"/>
      <c r="E412" s="1"/>
      <c r="F412" s="24">
        <f t="shared" si="9"/>
        <v>0</v>
      </c>
    </row>
    <row r="413" spans="2:6" x14ac:dyDescent="0.25">
      <c r="B413" s="1"/>
      <c r="C413" s="1"/>
      <c r="D413" s="1"/>
      <c r="E413" s="1"/>
      <c r="F413" s="24">
        <f t="shared" si="9"/>
        <v>0</v>
      </c>
    </row>
    <row r="414" spans="2:6" x14ac:dyDescent="0.25">
      <c r="B414" s="1"/>
      <c r="C414" s="1"/>
      <c r="D414" s="1"/>
      <c r="E414" s="1"/>
      <c r="F414" s="24">
        <f t="shared" si="9"/>
        <v>0</v>
      </c>
    </row>
    <row r="415" spans="2:6" x14ac:dyDescent="0.25">
      <c r="B415" s="1"/>
      <c r="C415" s="1"/>
      <c r="D415" s="1"/>
      <c r="E415" s="1"/>
      <c r="F415" s="24">
        <f t="shared" si="9"/>
        <v>0</v>
      </c>
    </row>
    <row r="416" spans="2:6" x14ac:dyDescent="0.25">
      <c r="B416" s="10" t="s">
        <v>20</v>
      </c>
      <c r="C416" s="1"/>
      <c r="D416" s="1"/>
      <c r="E416" s="4">
        <f>SUM(E403:E415)</f>
        <v>656.6</v>
      </c>
      <c r="F416" s="22">
        <f>SUM(F403:F415)</f>
        <v>144.98321851263029</v>
      </c>
    </row>
    <row r="417" spans="2:6" x14ac:dyDescent="0.25">
      <c r="B417" s="4" t="s">
        <v>22</v>
      </c>
      <c r="C417" s="6"/>
      <c r="D417" s="6"/>
      <c r="E417" s="6"/>
      <c r="F417" s="23">
        <f>F401+F416</f>
        <v>161.91321851263029</v>
      </c>
    </row>
    <row r="418" spans="2:6" x14ac:dyDescent="0.25">
      <c r="B418" s="7"/>
      <c r="C418" s="7"/>
      <c r="D418" s="7"/>
      <c r="E418" s="7"/>
      <c r="F418" s="7"/>
    </row>
    <row r="419" spans="2:6" x14ac:dyDescent="0.25">
      <c r="B419" s="13"/>
      <c r="C419" s="13"/>
      <c r="D419" s="13"/>
      <c r="E419" s="13"/>
      <c r="F419" s="13"/>
    </row>
    <row r="420" spans="2:6" x14ac:dyDescent="0.25">
      <c r="B420" s="13"/>
      <c r="C420" s="13"/>
      <c r="D420" s="13"/>
      <c r="E420" s="13"/>
      <c r="F420" s="13"/>
    </row>
    <row r="421" spans="2:6" ht="15" customHeight="1" x14ac:dyDescent="0.25">
      <c r="B421" s="39" t="s">
        <v>23</v>
      </c>
      <c r="C421" s="39"/>
      <c r="D421" s="39"/>
      <c r="E421" s="39" t="s">
        <v>24</v>
      </c>
      <c r="F421" s="39"/>
    </row>
    <row r="423" spans="2:6" ht="30" customHeight="1" x14ac:dyDescent="0.25">
      <c r="B423" s="37" t="s">
        <v>85</v>
      </c>
      <c r="C423" s="37"/>
      <c r="D423" s="37"/>
      <c r="E423" s="37"/>
      <c r="F423" s="37"/>
    </row>
    <row r="424" spans="2:6" ht="34.15" customHeight="1" x14ac:dyDescent="0.25">
      <c r="B424" s="37" t="s">
        <v>1</v>
      </c>
      <c r="C424" s="37"/>
      <c r="D424" s="37"/>
      <c r="E424" s="37"/>
      <c r="F424" s="37"/>
    </row>
    <row r="425" spans="2:6" x14ac:dyDescent="0.25">
      <c r="B425" s="14" t="s">
        <v>0</v>
      </c>
      <c r="C425" s="14"/>
      <c r="D425" s="14"/>
      <c r="E425" s="14"/>
      <c r="F425" s="14"/>
    </row>
    <row r="426" spans="2:6" ht="15" customHeight="1" x14ac:dyDescent="0.25">
      <c r="B426" s="12"/>
      <c r="C426" s="38" t="s">
        <v>25</v>
      </c>
      <c r="D426" s="38"/>
      <c r="E426" s="12">
        <v>379.4</v>
      </c>
      <c r="F426" s="12" t="s">
        <v>26</v>
      </c>
    </row>
    <row r="428" spans="2:6" ht="60" x14ac:dyDescent="0.25">
      <c r="B428" s="1" t="s">
        <v>2</v>
      </c>
      <c r="C428" s="1" t="s">
        <v>4</v>
      </c>
      <c r="D428" s="1" t="s">
        <v>3</v>
      </c>
      <c r="E428" s="1" t="s">
        <v>447</v>
      </c>
      <c r="F428" s="1" t="s">
        <v>5</v>
      </c>
    </row>
    <row r="429" spans="2:6" x14ac:dyDescent="0.25">
      <c r="B429" s="1"/>
      <c r="C429" s="1"/>
      <c r="D429" s="1"/>
      <c r="E429" s="1"/>
      <c r="F429" s="1"/>
    </row>
    <row r="430" spans="2:6" x14ac:dyDescent="0.25">
      <c r="B430" s="3" t="s">
        <v>6</v>
      </c>
      <c r="C430" s="1"/>
      <c r="D430" s="1"/>
      <c r="E430" s="1"/>
      <c r="F430" s="1"/>
    </row>
    <row r="431" spans="2:6" x14ac:dyDescent="0.25">
      <c r="B431" s="5" t="s">
        <v>7</v>
      </c>
      <c r="C431" s="1"/>
      <c r="D431" s="1"/>
      <c r="E431" s="1"/>
      <c r="F431" s="5">
        <v>2.0099999999999998</v>
      </c>
    </row>
    <row r="432" spans="2:6" x14ac:dyDescent="0.25">
      <c r="B432" s="5" t="s">
        <v>8</v>
      </c>
      <c r="C432" s="1"/>
      <c r="D432" s="1"/>
      <c r="E432" s="1"/>
      <c r="F432" s="5">
        <v>5.34</v>
      </c>
    </row>
    <row r="433" spans="2:6" ht="24.75" x14ac:dyDescent="0.25">
      <c r="B433" s="5" t="s">
        <v>11</v>
      </c>
      <c r="C433" s="1"/>
      <c r="D433" s="1"/>
      <c r="E433" s="1"/>
      <c r="F433" s="5">
        <v>0.55000000000000004</v>
      </c>
    </row>
    <row r="434" spans="2:6" ht="24.75" x14ac:dyDescent="0.25">
      <c r="B434" s="5" t="s">
        <v>12</v>
      </c>
      <c r="C434" s="1"/>
      <c r="D434" s="1"/>
      <c r="E434" s="1"/>
      <c r="F434" s="5">
        <v>0.53</v>
      </c>
    </row>
    <row r="435" spans="2:6" ht="24.75" x14ac:dyDescent="0.25">
      <c r="B435" s="5" t="s">
        <v>13</v>
      </c>
      <c r="C435" s="1"/>
      <c r="D435" s="1"/>
      <c r="E435" s="1"/>
      <c r="F435" s="5">
        <v>0.19</v>
      </c>
    </row>
    <row r="436" spans="2:6" ht="24.75" x14ac:dyDescent="0.25">
      <c r="B436" s="5" t="s">
        <v>14</v>
      </c>
      <c r="C436" s="1"/>
      <c r="D436" s="1"/>
      <c r="E436" s="1"/>
      <c r="F436" s="5">
        <v>1.25</v>
      </c>
    </row>
    <row r="437" spans="2:6" ht="24.75" x14ac:dyDescent="0.25">
      <c r="B437" s="5" t="s">
        <v>9</v>
      </c>
      <c r="C437" s="1"/>
      <c r="D437" s="1"/>
      <c r="E437" s="1"/>
      <c r="F437" s="5">
        <v>0.26</v>
      </c>
    </row>
    <row r="438" spans="2:6" ht="24.75" x14ac:dyDescent="0.25">
      <c r="B438" s="5" t="s">
        <v>15</v>
      </c>
      <c r="C438" s="1"/>
      <c r="D438" s="1"/>
      <c r="E438" s="1"/>
      <c r="F438" s="5">
        <v>0.27</v>
      </c>
    </row>
    <row r="439" spans="2:6" ht="24.75" x14ac:dyDescent="0.25">
      <c r="B439" s="5" t="s">
        <v>16</v>
      </c>
      <c r="C439" s="1"/>
      <c r="D439" s="1"/>
      <c r="E439" s="1"/>
      <c r="F439" s="5">
        <v>0.28999999999999998</v>
      </c>
    </row>
    <row r="440" spans="2:6" x14ac:dyDescent="0.25">
      <c r="B440" s="5" t="s">
        <v>17</v>
      </c>
      <c r="C440" s="1"/>
      <c r="D440" s="1"/>
      <c r="E440" s="1"/>
      <c r="F440" s="5">
        <v>0.32</v>
      </c>
    </row>
    <row r="441" spans="2:6" x14ac:dyDescent="0.25">
      <c r="B441" s="5" t="s">
        <v>18</v>
      </c>
      <c r="C441" s="1"/>
      <c r="D441" s="1"/>
      <c r="E441" s="1"/>
      <c r="F441" s="5">
        <v>1.97</v>
      </c>
    </row>
    <row r="442" spans="2:6" x14ac:dyDescent="0.25">
      <c r="B442" s="5" t="s">
        <v>19</v>
      </c>
      <c r="C442" s="1"/>
      <c r="D442" s="1"/>
      <c r="E442" s="1"/>
      <c r="F442" s="5">
        <v>3.95</v>
      </c>
    </row>
    <row r="443" spans="2:6" x14ac:dyDescent="0.25">
      <c r="B443" s="10" t="s">
        <v>20</v>
      </c>
      <c r="C443" s="1"/>
      <c r="D443" s="1"/>
      <c r="E443" s="1"/>
      <c r="F443" s="4">
        <f>SUM(F431:F442)</f>
        <v>16.93</v>
      </c>
    </row>
    <row r="444" spans="2:6" x14ac:dyDescent="0.25">
      <c r="B444" s="3" t="s">
        <v>21</v>
      </c>
      <c r="C444" s="1"/>
      <c r="D444" s="1"/>
      <c r="E444" s="1"/>
      <c r="F444" s="1"/>
    </row>
    <row r="445" spans="2:6" x14ac:dyDescent="0.25">
      <c r="B445" s="1" t="s">
        <v>275</v>
      </c>
      <c r="C445" s="1" t="s">
        <v>26</v>
      </c>
      <c r="D445" s="1">
        <v>62</v>
      </c>
      <c r="E445" s="1">
        <v>93</v>
      </c>
      <c r="F445" s="24">
        <f>E445/379.4*1000/12</f>
        <v>20.426989984185557</v>
      </c>
    </row>
    <row r="446" spans="2:6" x14ac:dyDescent="0.25">
      <c r="B446" s="1" t="s">
        <v>397</v>
      </c>
      <c r="C446" s="1" t="s">
        <v>256</v>
      </c>
      <c r="D446" s="1">
        <v>1</v>
      </c>
      <c r="E446" s="1">
        <v>45</v>
      </c>
      <c r="F446" s="24">
        <f t="shared" ref="F446:F456" si="10">E446/379.4*1000/12</f>
        <v>9.8840274117026894</v>
      </c>
    </row>
    <row r="447" spans="2:6" x14ac:dyDescent="0.25">
      <c r="B447" s="1" t="s">
        <v>398</v>
      </c>
      <c r="C447" s="1" t="s">
        <v>26</v>
      </c>
      <c r="D447" s="1">
        <v>10</v>
      </c>
      <c r="E447" s="1">
        <v>10</v>
      </c>
      <c r="F447" s="24">
        <f t="shared" si="10"/>
        <v>2.196450535933931</v>
      </c>
    </row>
    <row r="448" spans="2:6" x14ac:dyDescent="0.25">
      <c r="B448" s="1" t="s">
        <v>318</v>
      </c>
      <c r="C448" s="1" t="s">
        <v>26</v>
      </c>
      <c r="D448" s="1">
        <v>544</v>
      </c>
      <c r="E448" s="1">
        <v>136</v>
      </c>
      <c r="F448" s="24">
        <f t="shared" si="10"/>
        <v>29.871727288701461</v>
      </c>
    </row>
    <row r="449" spans="2:6" x14ac:dyDescent="0.25">
      <c r="B449" s="1" t="s">
        <v>390</v>
      </c>
      <c r="C449" s="1" t="s">
        <v>261</v>
      </c>
      <c r="D449" s="1">
        <v>20</v>
      </c>
      <c r="E449" s="1">
        <v>26</v>
      </c>
      <c r="F449" s="24">
        <f t="shared" si="10"/>
        <v>5.7107713934282209</v>
      </c>
    </row>
    <row r="450" spans="2:6" x14ac:dyDescent="0.25">
      <c r="B450" s="1" t="s">
        <v>319</v>
      </c>
      <c r="C450" s="1" t="s">
        <v>261</v>
      </c>
      <c r="D450" s="1">
        <v>16</v>
      </c>
      <c r="E450" s="1">
        <v>20.8</v>
      </c>
      <c r="F450" s="24">
        <f t="shared" si="10"/>
        <v>4.5686171147425769</v>
      </c>
    </row>
    <row r="451" spans="2:6" x14ac:dyDescent="0.25">
      <c r="B451" s="1" t="s">
        <v>320</v>
      </c>
      <c r="C451" s="1" t="s">
        <v>261</v>
      </c>
      <c r="D451" s="1">
        <v>20</v>
      </c>
      <c r="E451" s="1">
        <v>38</v>
      </c>
      <c r="F451" s="24">
        <f t="shared" si="10"/>
        <v>8.3465120365489387</v>
      </c>
    </row>
    <row r="452" spans="2:6" x14ac:dyDescent="0.25">
      <c r="B452" s="1" t="s">
        <v>325</v>
      </c>
      <c r="C452" s="1" t="s">
        <v>261</v>
      </c>
      <c r="D452" s="1">
        <v>24</v>
      </c>
      <c r="E452" s="1">
        <v>45.6</v>
      </c>
      <c r="F452" s="24">
        <f t="shared" si="10"/>
        <v>10.015814443858725</v>
      </c>
    </row>
    <row r="453" spans="2:6" x14ac:dyDescent="0.25">
      <c r="B453" s="1" t="s">
        <v>322</v>
      </c>
      <c r="C453" s="1" t="s">
        <v>261</v>
      </c>
      <c r="D453" s="1">
        <v>130</v>
      </c>
      <c r="E453" s="1">
        <v>156</v>
      </c>
      <c r="F453" s="24">
        <f t="shared" si="10"/>
        <v>34.264628360569318</v>
      </c>
    </row>
    <row r="454" spans="2:6" x14ac:dyDescent="0.25">
      <c r="B454" s="1" t="s">
        <v>323</v>
      </c>
      <c r="C454" s="1" t="s">
        <v>261</v>
      </c>
      <c r="D454" s="1">
        <v>140</v>
      </c>
      <c r="E454" s="1">
        <v>140</v>
      </c>
      <c r="F454" s="24">
        <f t="shared" si="10"/>
        <v>30.750307503075032</v>
      </c>
    </row>
    <row r="455" spans="2:6" x14ac:dyDescent="0.25">
      <c r="B455" s="1"/>
      <c r="C455" s="1"/>
      <c r="D455" s="1"/>
      <c r="E455" s="1"/>
      <c r="F455" s="24">
        <f t="shared" si="10"/>
        <v>0</v>
      </c>
    </row>
    <row r="456" spans="2:6" x14ac:dyDescent="0.25">
      <c r="B456" s="1"/>
      <c r="C456" s="1"/>
      <c r="D456" s="1"/>
      <c r="E456" s="1"/>
      <c r="F456" s="24">
        <f t="shared" si="10"/>
        <v>0</v>
      </c>
    </row>
    <row r="457" spans="2:6" x14ac:dyDescent="0.25">
      <c r="B457" s="10" t="s">
        <v>20</v>
      </c>
      <c r="C457" s="1"/>
      <c r="D457" s="1"/>
      <c r="E457" s="4">
        <f>SUM(E445:E456)</f>
        <v>710.40000000000009</v>
      </c>
      <c r="F457" s="22">
        <f>SUM(F445:F456)</f>
        <v>156.03584607274647</v>
      </c>
    </row>
    <row r="458" spans="2:6" x14ac:dyDescent="0.25">
      <c r="B458" s="4" t="s">
        <v>22</v>
      </c>
      <c r="C458" s="6"/>
      <c r="D458" s="6"/>
      <c r="E458" s="6"/>
      <c r="F458" s="23">
        <f>F443+F457</f>
        <v>172.96584607274647</v>
      </c>
    </row>
    <row r="459" spans="2:6" x14ac:dyDescent="0.25">
      <c r="B459" s="7"/>
      <c r="C459" s="7"/>
      <c r="D459" s="7"/>
      <c r="E459" s="7"/>
      <c r="F459" s="7"/>
    </row>
    <row r="460" spans="2:6" x14ac:dyDescent="0.25">
      <c r="B460" s="13"/>
      <c r="C460" s="13"/>
      <c r="D460" s="13"/>
      <c r="E460" s="13"/>
      <c r="F460" s="13"/>
    </row>
    <row r="461" spans="2:6" x14ac:dyDescent="0.25">
      <c r="B461" s="13"/>
      <c r="C461" s="13"/>
      <c r="D461" s="13"/>
      <c r="E461" s="13"/>
      <c r="F461" s="13"/>
    </row>
    <row r="462" spans="2:6" ht="15" customHeight="1" x14ac:dyDescent="0.25">
      <c r="B462" s="39" t="s">
        <v>23</v>
      </c>
      <c r="C462" s="39"/>
      <c r="D462" s="39"/>
      <c r="E462" s="39" t="s">
        <v>24</v>
      </c>
      <c r="F462" s="39"/>
    </row>
    <row r="465" spans="2:6" ht="33.6" customHeight="1" x14ac:dyDescent="0.25">
      <c r="B465" s="37" t="s">
        <v>86</v>
      </c>
      <c r="C465" s="37"/>
      <c r="D465" s="37"/>
      <c r="E465" s="37"/>
      <c r="F465" s="37"/>
    </row>
    <row r="466" spans="2:6" ht="29.45" customHeight="1" x14ac:dyDescent="0.25">
      <c r="B466" s="37" t="s">
        <v>1</v>
      </c>
      <c r="C466" s="37"/>
      <c r="D466" s="37"/>
      <c r="E466" s="37"/>
      <c r="F466" s="37"/>
    </row>
    <row r="467" spans="2:6" x14ac:dyDescent="0.25">
      <c r="B467" s="14" t="s">
        <v>0</v>
      </c>
      <c r="C467" s="14"/>
      <c r="D467" s="14"/>
      <c r="E467" s="14"/>
      <c r="F467" s="14"/>
    </row>
    <row r="468" spans="2:6" ht="15" customHeight="1" x14ac:dyDescent="0.25">
      <c r="B468" s="12"/>
      <c r="C468" s="38" t="s">
        <v>25</v>
      </c>
      <c r="D468" s="38"/>
      <c r="E468" s="12">
        <v>556.29999999999995</v>
      </c>
      <c r="F468" s="12" t="s">
        <v>26</v>
      </c>
    </row>
    <row r="470" spans="2:6" ht="60" x14ac:dyDescent="0.25">
      <c r="B470" s="1" t="s">
        <v>2</v>
      </c>
      <c r="C470" s="1" t="s">
        <v>4</v>
      </c>
      <c r="D470" s="1" t="s">
        <v>3</v>
      </c>
      <c r="E470" s="1" t="s">
        <v>447</v>
      </c>
      <c r="F470" s="1" t="s">
        <v>5</v>
      </c>
    </row>
    <row r="471" spans="2:6" x14ac:dyDescent="0.25">
      <c r="B471" s="1"/>
      <c r="C471" s="1"/>
      <c r="D471" s="1"/>
      <c r="E471" s="1"/>
      <c r="F471" s="1"/>
    </row>
    <row r="472" spans="2:6" x14ac:dyDescent="0.25">
      <c r="B472" s="3" t="s">
        <v>6</v>
      </c>
      <c r="C472" s="1"/>
      <c r="D472" s="1"/>
      <c r="E472" s="1"/>
      <c r="F472" s="1"/>
    </row>
    <row r="473" spans="2:6" x14ac:dyDescent="0.25">
      <c r="B473" s="5" t="s">
        <v>7</v>
      </c>
      <c r="C473" s="1"/>
      <c r="D473" s="1"/>
      <c r="E473" s="1"/>
      <c r="F473" s="5">
        <v>2.0099999999999998</v>
      </c>
    </row>
    <row r="474" spans="2:6" x14ac:dyDescent="0.25">
      <c r="B474" s="5" t="s">
        <v>8</v>
      </c>
      <c r="C474" s="1"/>
      <c r="D474" s="1"/>
      <c r="E474" s="1"/>
      <c r="F474" s="5">
        <v>5.34</v>
      </c>
    </row>
    <row r="475" spans="2:6" ht="24.75" x14ac:dyDescent="0.25">
      <c r="B475" s="5" t="s">
        <v>11</v>
      </c>
      <c r="C475" s="1"/>
      <c r="D475" s="1"/>
      <c r="E475" s="1"/>
      <c r="F475" s="5">
        <v>0.55000000000000004</v>
      </c>
    </row>
    <row r="476" spans="2:6" ht="24.75" x14ac:dyDescent="0.25">
      <c r="B476" s="5" t="s">
        <v>12</v>
      </c>
      <c r="C476" s="1"/>
      <c r="D476" s="1"/>
      <c r="E476" s="1"/>
      <c r="F476" s="5">
        <v>0.53</v>
      </c>
    </row>
    <row r="477" spans="2:6" ht="24.75" x14ac:dyDescent="0.25">
      <c r="B477" s="5" t="s">
        <v>13</v>
      </c>
      <c r="C477" s="1"/>
      <c r="D477" s="1"/>
      <c r="E477" s="1"/>
      <c r="F477" s="5">
        <v>0.19</v>
      </c>
    </row>
    <row r="478" spans="2:6" ht="24.75" x14ac:dyDescent="0.25">
      <c r="B478" s="5" t="s">
        <v>14</v>
      </c>
      <c r="C478" s="1"/>
      <c r="D478" s="1"/>
      <c r="E478" s="1"/>
      <c r="F478" s="5">
        <v>1.25</v>
      </c>
    </row>
    <row r="479" spans="2:6" ht="24.75" x14ac:dyDescent="0.25">
      <c r="B479" s="5" t="s">
        <v>9</v>
      </c>
      <c r="C479" s="1"/>
      <c r="D479" s="1"/>
      <c r="E479" s="1"/>
      <c r="F479" s="5">
        <v>0.26</v>
      </c>
    </row>
    <row r="480" spans="2:6" ht="24.75" x14ac:dyDescent="0.25">
      <c r="B480" s="5" t="s">
        <v>15</v>
      </c>
      <c r="C480" s="1"/>
      <c r="D480" s="1"/>
      <c r="E480" s="1"/>
      <c r="F480" s="5">
        <v>0.27</v>
      </c>
    </row>
    <row r="481" spans="2:6" ht="24.75" x14ac:dyDescent="0.25">
      <c r="B481" s="5" t="s">
        <v>16</v>
      </c>
      <c r="C481" s="1"/>
      <c r="D481" s="1"/>
      <c r="E481" s="1"/>
      <c r="F481" s="5">
        <v>0.28999999999999998</v>
      </c>
    </row>
    <row r="482" spans="2:6" x14ac:dyDescent="0.25">
      <c r="B482" s="5" t="s">
        <v>17</v>
      </c>
      <c r="C482" s="1"/>
      <c r="D482" s="1"/>
      <c r="E482" s="1"/>
      <c r="F482" s="5">
        <v>0.32</v>
      </c>
    </row>
    <row r="483" spans="2:6" x14ac:dyDescent="0.25">
      <c r="B483" s="5" t="s">
        <v>18</v>
      </c>
      <c r="C483" s="1"/>
      <c r="D483" s="1"/>
      <c r="E483" s="1"/>
      <c r="F483" s="5">
        <v>1.97</v>
      </c>
    </row>
    <row r="484" spans="2:6" x14ac:dyDescent="0.25">
      <c r="B484" s="5" t="s">
        <v>19</v>
      </c>
      <c r="C484" s="1"/>
      <c r="D484" s="1"/>
      <c r="E484" s="1"/>
      <c r="F484" s="5">
        <v>3.95</v>
      </c>
    </row>
    <row r="485" spans="2:6" x14ac:dyDescent="0.25">
      <c r="B485" s="10" t="s">
        <v>20</v>
      </c>
      <c r="C485" s="1"/>
      <c r="D485" s="1"/>
      <c r="E485" s="1"/>
      <c r="F485" s="4">
        <f>SUM(F473:F484)</f>
        <v>16.93</v>
      </c>
    </row>
    <row r="486" spans="2:6" x14ac:dyDescent="0.25">
      <c r="B486" s="3" t="s">
        <v>21</v>
      </c>
      <c r="C486" s="1"/>
      <c r="D486" s="1"/>
      <c r="E486" s="1"/>
      <c r="F486" s="1"/>
    </row>
    <row r="487" spans="2:6" x14ac:dyDescent="0.25">
      <c r="B487" s="1" t="s">
        <v>327</v>
      </c>
      <c r="C487" s="1" t="s">
        <v>261</v>
      </c>
      <c r="D487" s="1">
        <v>134</v>
      </c>
      <c r="E487" s="1">
        <v>114</v>
      </c>
      <c r="F487" s="24">
        <f>E487/556.3*1000/12</f>
        <v>17.077116663670683</v>
      </c>
    </row>
    <row r="488" spans="2:6" x14ac:dyDescent="0.25">
      <c r="B488" s="1" t="s">
        <v>317</v>
      </c>
      <c r="C488" s="1" t="s">
        <v>256</v>
      </c>
      <c r="D488" s="1">
        <v>1</v>
      </c>
      <c r="E488" s="1">
        <v>45</v>
      </c>
      <c r="F488" s="24">
        <f t="shared" ref="F488:F499" si="11">E488/556.3*1000/12</f>
        <v>6.740967104080533</v>
      </c>
    </row>
    <row r="489" spans="2:6" x14ac:dyDescent="0.25">
      <c r="B489" s="1" t="s">
        <v>326</v>
      </c>
      <c r="C489" s="1" t="s">
        <v>26</v>
      </c>
      <c r="D489" s="1">
        <v>23</v>
      </c>
      <c r="E489" s="1">
        <v>34.5</v>
      </c>
      <c r="F489" s="24">
        <f t="shared" si="11"/>
        <v>5.1680747797950746</v>
      </c>
    </row>
    <row r="490" spans="2:6" x14ac:dyDescent="0.25">
      <c r="B490" s="1" t="s">
        <v>318</v>
      </c>
      <c r="C490" s="1" t="s">
        <v>26</v>
      </c>
      <c r="D490" s="1">
        <v>550</v>
      </c>
      <c r="E490" s="1">
        <v>137.5</v>
      </c>
      <c r="F490" s="24">
        <f t="shared" si="11"/>
        <v>20.597399484690516</v>
      </c>
    </row>
    <row r="491" spans="2:6" x14ac:dyDescent="0.25">
      <c r="B491" s="1" t="s">
        <v>390</v>
      </c>
      <c r="C491" s="1" t="s">
        <v>261</v>
      </c>
      <c r="D491" s="1">
        <v>38</v>
      </c>
      <c r="E491" s="1">
        <v>49.4</v>
      </c>
      <c r="F491" s="24">
        <f t="shared" si="11"/>
        <v>7.400083887590629</v>
      </c>
    </row>
    <row r="492" spans="2:6" x14ac:dyDescent="0.25">
      <c r="B492" s="1" t="s">
        <v>319</v>
      </c>
      <c r="C492" s="1" t="s">
        <v>261</v>
      </c>
      <c r="D492" s="1">
        <v>18</v>
      </c>
      <c r="E492" s="1">
        <v>23.4</v>
      </c>
      <c r="F492" s="24">
        <f t="shared" si="11"/>
        <v>3.5053028941218769</v>
      </c>
    </row>
    <row r="493" spans="2:6" x14ac:dyDescent="0.25">
      <c r="B493" s="1" t="s">
        <v>342</v>
      </c>
      <c r="C493" s="1" t="s">
        <v>265</v>
      </c>
      <c r="D493" s="1">
        <v>1</v>
      </c>
      <c r="E493" s="1">
        <v>12</v>
      </c>
      <c r="F493" s="24">
        <f t="shared" si="11"/>
        <v>1.7975912277548085</v>
      </c>
    </row>
    <row r="494" spans="2:6" x14ac:dyDescent="0.25">
      <c r="B494" s="1" t="s">
        <v>320</v>
      </c>
      <c r="C494" s="1" t="s">
        <v>261</v>
      </c>
      <c r="D494" s="1">
        <v>30</v>
      </c>
      <c r="E494" s="1">
        <v>57</v>
      </c>
      <c r="F494" s="24">
        <f t="shared" si="11"/>
        <v>8.5385583318353415</v>
      </c>
    </row>
    <row r="495" spans="2:6" x14ac:dyDescent="0.25">
      <c r="B495" s="1" t="s">
        <v>325</v>
      </c>
      <c r="C495" s="1" t="s">
        <v>261</v>
      </c>
      <c r="D495" s="1">
        <v>24</v>
      </c>
      <c r="E495" s="1">
        <v>45.6</v>
      </c>
      <c r="F495" s="24">
        <f t="shared" si="11"/>
        <v>6.8308466654682727</v>
      </c>
    </row>
    <row r="496" spans="2:6" x14ac:dyDescent="0.25">
      <c r="B496" s="1" t="s">
        <v>399</v>
      </c>
      <c r="C496" s="1" t="s">
        <v>265</v>
      </c>
      <c r="D496" s="1">
        <v>2</v>
      </c>
      <c r="E496" s="1">
        <v>7</v>
      </c>
      <c r="F496" s="24">
        <f t="shared" si="11"/>
        <v>1.0485948828569718</v>
      </c>
    </row>
    <row r="497" spans="2:6" x14ac:dyDescent="0.25">
      <c r="B497" s="1" t="s">
        <v>322</v>
      </c>
      <c r="C497" s="1" t="s">
        <v>261</v>
      </c>
      <c r="D497" s="1">
        <v>120</v>
      </c>
      <c r="E497" s="1">
        <v>144</v>
      </c>
      <c r="F497" s="24">
        <f t="shared" si="11"/>
        <v>21.571094733057706</v>
      </c>
    </row>
    <row r="498" spans="2:6" x14ac:dyDescent="0.25">
      <c r="B498" s="1" t="s">
        <v>323</v>
      </c>
      <c r="C498" s="1" t="s">
        <v>261</v>
      </c>
      <c r="D498" s="1">
        <v>160</v>
      </c>
      <c r="E498" s="1">
        <v>160</v>
      </c>
      <c r="F498" s="24">
        <f t="shared" si="11"/>
        <v>23.967883036730782</v>
      </c>
    </row>
    <row r="499" spans="2:6" x14ac:dyDescent="0.25">
      <c r="B499" s="1" t="s">
        <v>275</v>
      </c>
      <c r="C499" s="1" t="s">
        <v>26</v>
      </c>
      <c r="D499" s="1">
        <v>90</v>
      </c>
      <c r="E499" s="1">
        <v>135</v>
      </c>
      <c r="F499" s="24">
        <f t="shared" si="11"/>
        <v>20.222901312241596</v>
      </c>
    </row>
    <row r="500" spans="2:6" x14ac:dyDescent="0.25">
      <c r="B500" s="10" t="s">
        <v>20</v>
      </c>
      <c r="C500" s="1"/>
      <c r="D500" s="1"/>
      <c r="E500" s="4">
        <f>SUM(E487:E499)</f>
        <v>964.4</v>
      </c>
      <c r="F500" s="22">
        <f>SUM(F487:F499)</f>
        <v>144.46641500389478</v>
      </c>
    </row>
    <row r="501" spans="2:6" x14ac:dyDescent="0.25">
      <c r="B501" s="4" t="s">
        <v>22</v>
      </c>
      <c r="C501" s="6"/>
      <c r="D501" s="6"/>
      <c r="E501" s="6"/>
      <c r="F501" s="23">
        <f>F485+F500</f>
        <v>161.39641500389479</v>
      </c>
    </row>
    <row r="502" spans="2:6" x14ac:dyDescent="0.25">
      <c r="B502" s="7"/>
      <c r="C502" s="7"/>
      <c r="D502" s="7"/>
      <c r="E502" s="7"/>
      <c r="F502" s="7"/>
    </row>
    <row r="503" spans="2:6" x14ac:dyDescent="0.25">
      <c r="B503" s="13"/>
      <c r="C503" s="13"/>
      <c r="D503" s="13"/>
      <c r="E503" s="13"/>
      <c r="F503" s="13"/>
    </row>
    <row r="504" spans="2:6" x14ac:dyDescent="0.25">
      <c r="B504" s="13"/>
      <c r="C504" s="13"/>
      <c r="D504" s="13"/>
      <c r="E504" s="13"/>
      <c r="F504" s="13"/>
    </row>
    <row r="505" spans="2:6" ht="15" customHeight="1" x14ac:dyDescent="0.25">
      <c r="B505" s="39" t="s">
        <v>23</v>
      </c>
      <c r="C505" s="39"/>
      <c r="D505" s="39"/>
      <c r="E505" s="39" t="s">
        <v>24</v>
      </c>
      <c r="F505" s="39"/>
    </row>
    <row r="507" spans="2:6" ht="27" customHeight="1" x14ac:dyDescent="0.25">
      <c r="B507" s="37" t="s">
        <v>87</v>
      </c>
      <c r="C507" s="37"/>
      <c r="D507" s="37"/>
      <c r="E507" s="37"/>
      <c r="F507" s="37"/>
    </row>
    <row r="508" spans="2:6" ht="37.15" customHeight="1" x14ac:dyDescent="0.25">
      <c r="B508" s="37" t="s">
        <v>1</v>
      </c>
      <c r="C508" s="37"/>
      <c r="D508" s="37"/>
      <c r="E508" s="37"/>
      <c r="F508" s="37"/>
    </row>
    <row r="509" spans="2:6" x14ac:dyDescent="0.25">
      <c r="B509" s="14" t="s">
        <v>0</v>
      </c>
      <c r="C509" s="14"/>
      <c r="D509" s="14"/>
      <c r="E509" s="14"/>
      <c r="F509" s="14"/>
    </row>
    <row r="510" spans="2:6" ht="15" customHeight="1" x14ac:dyDescent="0.25">
      <c r="B510" s="12"/>
      <c r="C510" s="38" t="s">
        <v>25</v>
      </c>
      <c r="D510" s="38"/>
      <c r="E510" s="12">
        <v>276.60000000000002</v>
      </c>
      <c r="F510" s="12" t="s">
        <v>26</v>
      </c>
    </row>
    <row r="512" spans="2:6" ht="60" x14ac:dyDescent="0.25">
      <c r="B512" s="1" t="s">
        <v>2</v>
      </c>
      <c r="C512" s="1" t="s">
        <v>4</v>
      </c>
      <c r="D512" s="1" t="s">
        <v>3</v>
      </c>
      <c r="E512" s="1" t="s">
        <v>447</v>
      </c>
      <c r="F512" s="1" t="s">
        <v>5</v>
      </c>
    </row>
    <row r="513" spans="2:6" x14ac:dyDescent="0.25">
      <c r="B513" s="1"/>
      <c r="C513" s="1"/>
      <c r="D513" s="1"/>
      <c r="E513" s="1"/>
      <c r="F513" s="1"/>
    </row>
    <row r="514" spans="2:6" x14ac:dyDescent="0.25">
      <c r="B514" s="3" t="s">
        <v>6</v>
      </c>
      <c r="C514" s="1"/>
      <c r="D514" s="1"/>
      <c r="E514" s="1"/>
      <c r="F514" s="1"/>
    </row>
    <row r="515" spans="2:6" x14ac:dyDescent="0.25">
      <c r="B515" s="5" t="s">
        <v>7</v>
      </c>
      <c r="C515" s="1"/>
      <c r="D515" s="1"/>
      <c r="E515" s="1"/>
      <c r="F515" s="5">
        <v>2.0099999999999998</v>
      </c>
    </row>
    <row r="516" spans="2:6" x14ac:dyDescent="0.25">
      <c r="B516" s="5" t="s">
        <v>8</v>
      </c>
      <c r="C516" s="1"/>
      <c r="D516" s="1"/>
      <c r="E516" s="1"/>
      <c r="F516" s="5">
        <v>5.34</v>
      </c>
    </row>
    <row r="517" spans="2:6" ht="24.75" x14ac:dyDescent="0.25">
      <c r="B517" s="5" t="s">
        <v>11</v>
      </c>
      <c r="C517" s="1"/>
      <c r="D517" s="1"/>
      <c r="E517" s="1"/>
      <c r="F517" s="5">
        <v>0.55000000000000004</v>
      </c>
    </row>
    <row r="518" spans="2:6" ht="24.75" x14ac:dyDescent="0.25">
      <c r="B518" s="5" t="s">
        <v>12</v>
      </c>
      <c r="C518" s="1"/>
      <c r="D518" s="1"/>
      <c r="E518" s="1"/>
      <c r="F518" s="5">
        <v>0.53</v>
      </c>
    </row>
    <row r="519" spans="2:6" ht="24.75" x14ac:dyDescent="0.25">
      <c r="B519" s="5" t="s">
        <v>13</v>
      </c>
      <c r="C519" s="1"/>
      <c r="D519" s="1"/>
      <c r="E519" s="1"/>
      <c r="F519" s="5">
        <v>0.19</v>
      </c>
    </row>
    <row r="520" spans="2:6" ht="24.75" x14ac:dyDescent="0.25">
      <c r="B520" s="5" t="s">
        <v>9</v>
      </c>
      <c r="C520" s="1"/>
      <c r="D520" s="1"/>
      <c r="E520" s="1"/>
      <c r="F520" s="5">
        <v>0.26</v>
      </c>
    </row>
    <row r="521" spans="2:6" ht="24.75" x14ac:dyDescent="0.25">
      <c r="B521" s="5" t="s">
        <v>15</v>
      </c>
      <c r="C521" s="1"/>
      <c r="D521" s="1"/>
      <c r="E521" s="1"/>
      <c r="F521" s="5">
        <v>0.27</v>
      </c>
    </row>
    <row r="522" spans="2:6" ht="24.75" x14ac:dyDescent="0.25">
      <c r="B522" s="5" t="s">
        <v>16</v>
      </c>
      <c r="C522" s="1"/>
      <c r="D522" s="1"/>
      <c r="E522" s="1"/>
      <c r="F522" s="5">
        <v>0.28999999999999998</v>
      </c>
    </row>
    <row r="523" spans="2:6" x14ac:dyDescent="0.25">
      <c r="B523" s="5" t="s">
        <v>17</v>
      </c>
      <c r="C523" s="1"/>
      <c r="D523" s="1"/>
      <c r="E523" s="1"/>
      <c r="F523" s="5">
        <v>0.32</v>
      </c>
    </row>
    <row r="524" spans="2:6" x14ac:dyDescent="0.25">
      <c r="B524" s="5" t="s">
        <v>18</v>
      </c>
      <c r="C524" s="1"/>
      <c r="D524" s="1"/>
      <c r="E524" s="1"/>
      <c r="F524" s="5">
        <v>1.97</v>
      </c>
    </row>
    <row r="525" spans="2:6" x14ac:dyDescent="0.25">
      <c r="B525" s="5" t="s">
        <v>19</v>
      </c>
      <c r="C525" s="1"/>
      <c r="D525" s="1"/>
      <c r="E525" s="1"/>
      <c r="F525" s="5">
        <v>3.95</v>
      </c>
    </row>
    <row r="526" spans="2:6" x14ac:dyDescent="0.25">
      <c r="B526" s="10" t="s">
        <v>20</v>
      </c>
      <c r="C526" s="1"/>
      <c r="D526" s="1"/>
      <c r="E526" s="1"/>
      <c r="F526" s="4">
        <f>SUM(F515:F525)</f>
        <v>15.68</v>
      </c>
    </row>
    <row r="527" spans="2:6" x14ac:dyDescent="0.25">
      <c r="B527" s="3" t="s">
        <v>21</v>
      </c>
      <c r="C527" s="1"/>
      <c r="D527" s="1"/>
      <c r="E527" s="1"/>
      <c r="F527" s="1"/>
    </row>
    <row r="528" spans="2:6" x14ac:dyDescent="0.25">
      <c r="B528" s="1" t="s">
        <v>326</v>
      </c>
      <c r="C528" s="1" t="s">
        <v>26</v>
      </c>
      <c r="D528" s="1">
        <v>20</v>
      </c>
      <c r="E528" s="1">
        <v>30</v>
      </c>
      <c r="F528" s="24">
        <f>E528/276.6*1000/12</f>
        <v>9.0383224873463472</v>
      </c>
    </row>
    <row r="529" spans="2:6" x14ac:dyDescent="0.25">
      <c r="B529" s="1" t="s">
        <v>334</v>
      </c>
      <c r="C529" s="1" t="s">
        <v>265</v>
      </c>
      <c r="D529" s="1">
        <v>1</v>
      </c>
      <c r="E529" s="1">
        <v>10</v>
      </c>
      <c r="F529" s="24">
        <f t="shared" ref="F529:F540" si="12">E529/276.6*1000/12</f>
        <v>3.0127741624487823</v>
      </c>
    </row>
    <row r="530" spans="2:6" x14ac:dyDescent="0.25">
      <c r="B530" s="1" t="s">
        <v>275</v>
      </c>
      <c r="C530" s="1" t="s">
        <v>26</v>
      </c>
      <c r="D530" s="1">
        <v>60</v>
      </c>
      <c r="E530" s="1">
        <v>90</v>
      </c>
      <c r="F530" s="24">
        <f t="shared" si="12"/>
        <v>27.114967462039047</v>
      </c>
    </row>
    <row r="531" spans="2:6" x14ac:dyDescent="0.25">
      <c r="B531" s="1" t="s">
        <v>390</v>
      </c>
      <c r="C531" s="1" t="s">
        <v>261</v>
      </c>
      <c r="D531" s="1">
        <v>18</v>
      </c>
      <c r="E531" s="1">
        <v>23.4</v>
      </c>
      <c r="F531" s="24">
        <f t="shared" si="12"/>
        <v>7.0498915401301501</v>
      </c>
    </row>
    <row r="532" spans="2:6" x14ac:dyDescent="0.25">
      <c r="B532" s="1" t="s">
        <v>319</v>
      </c>
      <c r="C532" s="1" t="s">
        <v>261</v>
      </c>
      <c r="D532" s="1">
        <v>15</v>
      </c>
      <c r="E532" s="1">
        <v>19.5</v>
      </c>
      <c r="F532" s="24">
        <f t="shared" si="12"/>
        <v>5.8749096167751267</v>
      </c>
    </row>
    <row r="533" spans="2:6" x14ac:dyDescent="0.25">
      <c r="B533" s="1" t="s">
        <v>320</v>
      </c>
      <c r="C533" s="1" t="s">
        <v>261</v>
      </c>
      <c r="D533" s="1">
        <v>18</v>
      </c>
      <c r="E533" s="1">
        <v>34.200000000000003</v>
      </c>
      <c r="F533" s="24">
        <f t="shared" si="12"/>
        <v>10.303687635574837</v>
      </c>
    </row>
    <row r="534" spans="2:6" x14ac:dyDescent="0.25">
      <c r="B534" s="1" t="s">
        <v>325</v>
      </c>
      <c r="C534" s="1" t="s">
        <v>261</v>
      </c>
      <c r="D534" s="1">
        <v>18</v>
      </c>
      <c r="E534" s="1">
        <v>34.200000000000003</v>
      </c>
      <c r="F534" s="24">
        <f t="shared" si="12"/>
        <v>10.303687635574837</v>
      </c>
    </row>
    <row r="535" spans="2:6" x14ac:dyDescent="0.25">
      <c r="B535" s="1" t="s">
        <v>352</v>
      </c>
      <c r="C535" s="1" t="s">
        <v>26</v>
      </c>
      <c r="D535" s="1">
        <v>104</v>
      </c>
      <c r="E535" s="1">
        <v>88.5</v>
      </c>
      <c r="F535" s="24">
        <f t="shared" si="12"/>
        <v>26.663051337671728</v>
      </c>
    </row>
    <row r="536" spans="2:6" x14ac:dyDescent="0.25">
      <c r="B536" s="1" t="s">
        <v>322</v>
      </c>
      <c r="C536" s="1" t="s">
        <v>261</v>
      </c>
      <c r="D536" s="1">
        <v>130</v>
      </c>
      <c r="E536" s="1">
        <v>156</v>
      </c>
      <c r="F536" s="24">
        <f t="shared" si="12"/>
        <v>46.999276934201013</v>
      </c>
    </row>
    <row r="537" spans="2:6" x14ac:dyDescent="0.25">
      <c r="B537" s="1" t="s">
        <v>323</v>
      </c>
      <c r="C537" s="1" t="s">
        <v>261</v>
      </c>
      <c r="D537" s="1">
        <v>140</v>
      </c>
      <c r="E537" s="1">
        <v>140</v>
      </c>
      <c r="F537" s="24">
        <f t="shared" si="12"/>
        <v>42.178838274282953</v>
      </c>
    </row>
    <row r="538" spans="2:6" x14ac:dyDescent="0.25">
      <c r="B538" s="1"/>
      <c r="C538" s="1"/>
      <c r="D538" s="1"/>
      <c r="E538" s="1"/>
      <c r="F538" s="24">
        <f t="shared" si="12"/>
        <v>0</v>
      </c>
    </row>
    <row r="539" spans="2:6" x14ac:dyDescent="0.25">
      <c r="B539" s="1"/>
      <c r="C539" s="1"/>
      <c r="D539" s="1"/>
      <c r="E539" s="1"/>
      <c r="F539" s="24">
        <f t="shared" si="12"/>
        <v>0</v>
      </c>
    </row>
    <row r="540" spans="2:6" x14ac:dyDescent="0.25">
      <c r="B540" s="1"/>
      <c r="C540" s="1"/>
      <c r="D540" s="1"/>
      <c r="E540" s="1"/>
      <c r="F540" s="24">
        <f t="shared" si="12"/>
        <v>0</v>
      </c>
    </row>
    <row r="541" spans="2:6" x14ac:dyDescent="0.25">
      <c r="B541" s="10" t="s">
        <v>20</v>
      </c>
      <c r="C541" s="1"/>
      <c r="D541" s="1"/>
      <c r="E541" s="4">
        <f>SUM(E528:E540)</f>
        <v>625.79999999999995</v>
      </c>
      <c r="F541" s="22">
        <f>SUM(F528:F540)</f>
        <v>188.53940708604483</v>
      </c>
    </row>
    <row r="542" spans="2:6" x14ac:dyDescent="0.25">
      <c r="B542" s="4" t="s">
        <v>22</v>
      </c>
      <c r="C542" s="6"/>
      <c r="D542" s="6"/>
      <c r="E542" s="6"/>
      <c r="F542" s="23">
        <f>F526+F541</f>
        <v>204.21940708604484</v>
      </c>
    </row>
    <row r="543" spans="2:6" x14ac:dyDescent="0.25">
      <c r="B543" s="7"/>
      <c r="C543" s="7"/>
      <c r="D543" s="7"/>
      <c r="E543" s="7"/>
      <c r="F543" s="7"/>
    </row>
    <row r="544" spans="2:6" x14ac:dyDescent="0.25">
      <c r="B544" s="13"/>
      <c r="C544" s="13"/>
      <c r="D544" s="13"/>
      <c r="E544" s="13"/>
      <c r="F544" s="13"/>
    </row>
    <row r="545" spans="2:6" x14ac:dyDescent="0.25">
      <c r="B545" s="13"/>
      <c r="C545" s="13"/>
      <c r="D545" s="13"/>
      <c r="E545" s="13"/>
      <c r="F545" s="13"/>
    </row>
    <row r="546" spans="2:6" ht="15" customHeight="1" x14ac:dyDescent="0.25">
      <c r="B546" s="39" t="s">
        <v>23</v>
      </c>
      <c r="C546" s="39"/>
      <c r="D546" s="39"/>
      <c r="E546" s="39" t="s">
        <v>24</v>
      </c>
      <c r="F546" s="39"/>
    </row>
    <row r="548" spans="2:6" ht="33" customHeight="1" x14ac:dyDescent="0.25">
      <c r="B548" s="37" t="s">
        <v>88</v>
      </c>
      <c r="C548" s="37"/>
      <c r="D548" s="37"/>
      <c r="E548" s="37"/>
      <c r="F548" s="37"/>
    </row>
    <row r="549" spans="2:6" ht="27" customHeight="1" x14ac:dyDescent="0.25">
      <c r="B549" s="37" t="s">
        <v>1</v>
      </c>
      <c r="C549" s="37"/>
      <c r="D549" s="37"/>
      <c r="E549" s="37"/>
      <c r="F549" s="37"/>
    </row>
    <row r="550" spans="2:6" x14ac:dyDescent="0.25">
      <c r="B550" s="14" t="s">
        <v>0</v>
      </c>
      <c r="C550" s="14"/>
      <c r="D550" s="14"/>
      <c r="E550" s="14"/>
      <c r="F550" s="14"/>
    </row>
    <row r="551" spans="2:6" ht="15" customHeight="1" x14ac:dyDescent="0.25">
      <c r="B551" s="12"/>
      <c r="C551" s="38" t="s">
        <v>25</v>
      </c>
      <c r="D551" s="38"/>
      <c r="E551" s="12">
        <v>283.60000000000002</v>
      </c>
      <c r="F551" s="12" t="s">
        <v>26</v>
      </c>
    </row>
    <row r="553" spans="2:6" ht="60" x14ac:dyDescent="0.25">
      <c r="B553" s="1" t="s">
        <v>2</v>
      </c>
      <c r="C553" s="1" t="s">
        <v>4</v>
      </c>
      <c r="D553" s="1" t="s">
        <v>3</v>
      </c>
      <c r="E553" s="1" t="s">
        <v>447</v>
      </c>
      <c r="F553" s="1" t="s">
        <v>5</v>
      </c>
    </row>
    <row r="554" spans="2:6" x14ac:dyDescent="0.25">
      <c r="B554" s="1"/>
      <c r="C554" s="1"/>
      <c r="D554" s="1"/>
      <c r="E554" s="1"/>
      <c r="F554" s="1"/>
    </row>
    <row r="555" spans="2:6" x14ac:dyDescent="0.25">
      <c r="B555" s="3" t="s">
        <v>6</v>
      </c>
      <c r="C555" s="1"/>
      <c r="D555" s="1"/>
      <c r="E555" s="1"/>
      <c r="F555" s="1"/>
    </row>
    <row r="556" spans="2:6" x14ac:dyDescent="0.25">
      <c r="B556" s="5" t="s">
        <v>7</v>
      </c>
      <c r="C556" s="1"/>
      <c r="D556" s="1"/>
      <c r="E556" s="1"/>
      <c r="F556" s="5">
        <v>2.0099999999999998</v>
      </c>
    </row>
    <row r="557" spans="2:6" x14ac:dyDescent="0.25">
      <c r="B557" s="5" t="s">
        <v>8</v>
      </c>
      <c r="C557" s="1"/>
      <c r="D557" s="1"/>
      <c r="E557" s="1"/>
      <c r="F557" s="5">
        <v>5.34</v>
      </c>
    </row>
    <row r="558" spans="2:6" ht="24.75" x14ac:dyDescent="0.25">
      <c r="B558" s="5" t="s">
        <v>11</v>
      </c>
      <c r="C558" s="1"/>
      <c r="D558" s="1"/>
      <c r="E558" s="1"/>
      <c r="F558" s="5">
        <v>0.55000000000000004</v>
      </c>
    </row>
    <row r="559" spans="2:6" ht="24.75" x14ac:dyDescent="0.25">
      <c r="B559" s="5" t="s">
        <v>12</v>
      </c>
      <c r="C559" s="1"/>
      <c r="D559" s="1"/>
      <c r="E559" s="1"/>
      <c r="F559" s="5">
        <v>0.53</v>
      </c>
    </row>
    <row r="560" spans="2:6" ht="24.75" x14ac:dyDescent="0.25">
      <c r="B560" s="5" t="s">
        <v>13</v>
      </c>
      <c r="C560" s="1"/>
      <c r="D560" s="1"/>
      <c r="E560" s="1"/>
      <c r="F560" s="5">
        <v>0.19</v>
      </c>
    </row>
    <row r="561" spans="2:6" ht="24.75" x14ac:dyDescent="0.25">
      <c r="B561" s="5" t="s">
        <v>9</v>
      </c>
      <c r="C561" s="1"/>
      <c r="D561" s="1"/>
      <c r="E561" s="1"/>
      <c r="F561" s="5">
        <v>0.26</v>
      </c>
    </row>
    <row r="562" spans="2:6" ht="24.75" x14ac:dyDescent="0.25">
      <c r="B562" s="5" t="s">
        <v>15</v>
      </c>
      <c r="C562" s="1"/>
      <c r="D562" s="1"/>
      <c r="E562" s="1"/>
      <c r="F562" s="5">
        <v>0.27</v>
      </c>
    </row>
    <row r="563" spans="2:6" ht="24.75" x14ac:dyDescent="0.25">
      <c r="B563" s="5" t="s">
        <v>16</v>
      </c>
      <c r="C563" s="1"/>
      <c r="D563" s="1"/>
      <c r="E563" s="1"/>
      <c r="F563" s="5">
        <v>0.28999999999999998</v>
      </c>
    </row>
    <row r="564" spans="2:6" x14ac:dyDescent="0.25">
      <c r="B564" s="5" t="s">
        <v>17</v>
      </c>
      <c r="C564" s="1"/>
      <c r="D564" s="1"/>
      <c r="E564" s="1"/>
      <c r="F564" s="5">
        <v>0.32</v>
      </c>
    </row>
    <row r="565" spans="2:6" x14ac:dyDescent="0.25">
      <c r="B565" s="5" t="s">
        <v>18</v>
      </c>
      <c r="C565" s="1"/>
      <c r="D565" s="1"/>
      <c r="E565" s="1"/>
      <c r="F565" s="5">
        <v>1.97</v>
      </c>
    </row>
    <row r="566" spans="2:6" x14ac:dyDescent="0.25">
      <c r="B566" s="5" t="s">
        <v>19</v>
      </c>
      <c r="C566" s="1"/>
      <c r="D566" s="1"/>
      <c r="E566" s="1"/>
      <c r="F566" s="5">
        <v>3.95</v>
      </c>
    </row>
    <row r="567" spans="2:6" x14ac:dyDescent="0.25">
      <c r="B567" s="10" t="s">
        <v>20</v>
      </c>
      <c r="C567" s="1"/>
      <c r="D567" s="1"/>
      <c r="E567" s="1"/>
      <c r="F567" s="4">
        <f>SUM(F556:F566)</f>
        <v>15.68</v>
      </c>
    </row>
    <row r="568" spans="2:6" x14ac:dyDescent="0.25">
      <c r="B568" s="3" t="s">
        <v>21</v>
      </c>
      <c r="C568" s="1"/>
      <c r="D568" s="1"/>
      <c r="E568" s="1"/>
      <c r="F568" s="1"/>
    </row>
    <row r="569" spans="2:6" x14ac:dyDescent="0.25">
      <c r="B569" s="1" t="s">
        <v>326</v>
      </c>
      <c r="C569" s="1" t="s">
        <v>26</v>
      </c>
      <c r="D569" s="1">
        <v>20</v>
      </c>
      <c r="E569" s="1">
        <v>30</v>
      </c>
      <c r="F569" s="24">
        <f>E569/283.6*1000/12</f>
        <v>8.8152327221438629</v>
      </c>
    </row>
    <row r="570" spans="2:6" x14ac:dyDescent="0.25">
      <c r="B570" s="1" t="s">
        <v>327</v>
      </c>
      <c r="C570" s="1" t="s">
        <v>261</v>
      </c>
      <c r="D570" s="1">
        <v>110</v>
      </c>
      <c r="E570" s="1">
        <v>93.5</v>
      </c>
      <c r="F570" s="24">
        <f t="shared" ref="F570:F581" si="13">E570/283.6*1000/12</f>
        <v>27.474141984015045</v>
      </c>
    </row>
    <row r="571" spans="2:6" x14ac:dyDescent="0.25">
      <c r="B571" s="1" t="s">
        <v>275</v>
      </c>
      <c r="C571" s="1" t="s">
        <v>26</v>
      </c>
      <c r="D571" s="1">
        <v>60</v>
      </c>
      <c r="E571" s="1">
        <v>90</v>
      </c>
      <c r="F571" s="24">
        <f t="shared" si="13"/>
        <v>26.445698166431587</v>
      </c>
    </row>
    <row r="572" spans="2:6" x14ac:dyDescent="0.25">
      <c r="B572" s="1" t="s">
        <v>319</v>
      </c>
      <c r="C572" s="1" t="s">
        <v>261</v>
      </c>
      <c r="D572" s="1">
        <v>12</v>
      </c>
      <c r="E572" s="1">
        <v>15.6</v>
      </c>
      <c r="F572" s="24">
        <f t="shared" si="13"/>
        <v>4.5839210155148091</v>
      </c>
    </row>
    <row r="573" spans="2:6" x14ac:dyDescent="0.25">
      <c r="B573" s="1" t="s">
        <v>320</v>
      </c>
      <c r="C573" s="1" t="s">
        <v>261</v>
      </c>
      <c r="D573" s="1">
        <v>18</v>
      </c>
      <c r="E573" s="1">
        <v>34.200000000000003</v>
      </c>
      <c r="F573" s="24">
        <f t="shared" si="13"/>
        <v>10.049365303244006</v>
      </c>
    </row>
    <row r="574" spans="2:6" x14ac:dyDescent="0.25">
      <c r="B574" s="1" t="s">
        <v>325</v>
      </c>
      <c r="C574" s="1" t="s">
        <v>261</v>
      </c>
      <c r="D574" s="1">
        <v>18</v>
      </c>
      <c r="E574" s="1">
        <v>34.200000000000003</v>
      </c>
      <c r="F574" s="24">
        <f t="shared" si="13"/>
        <v>10.049365303244006</v>
      </c>
    </row>
    <row r="575" spans="2:6" x14ac:dyDescent="0.25">
      <c r="B575" s="1" t="s">
        <v>321</v>
      </c>
      <c r="C575" s="1" t="s">
        <v>256</v>
      </c>
      <c r="D575" s="1">
        <v>1</v>
      </c>
      <c r="E575" s="1">
        <v>50</v>
      </c>
      <c r="F575" s="24">
        <f t="shared" si="13"/>
        <v>14.69205453690644</v>
      </c>
    </row>
    <row r="576" spans="2:6" x14ac:dyDescent="0.25">
      <c r="B576" s="1" t="s">
        <v>400</v>
      </c>
      <c r="C576" s="1" t="s">
        <v>261</v>
      </c>
      <c r="D576" s="1">
        <v>130</v>
      </c>
      <c r="E576" s="1">
        <v>156</v>
      </c>
      <c r="F576" s="24">
        <f t="shared" si="13"/>
        <v>45.839210155148088</v>
      </c>
    </row>
    <row r="577" spans="2:6" x14ac:dyDescent="0.25">
      <c r="B577" s="1" t="s">
        <v>323</v>
      </c>
      <c r="C577" s="1" t="s">
        <v>261</v>
      </c>
      <c r="D577" s="1">
        <v>140</v>
      </c>
      <c r="E577" s="1">
        <v>140</v>
      </c>
      <c r="F577" s="24">
        <f t="shared" si="13"/>
        <v>41.13775270333803</v>
      </c>
    </row>
    <row r="578" spans="2:6" x14ac:dyDescent="0.25">
      <c r="B578" s="1"/>
      <c r="C578" s="1"/>
      <c r="D578" s="1"/>
      <c r="E578" s="1"/>
      <c r="F578" s="24">
        <f t="shared" si="13"/>
        <v>0</v>
      </c>
    </row>
    <row r="579" spans="2:6" x14ac:dyDescent="0.25">
      <c r="B579" s="1"/>
      <c r="C579" s="1"/>
      <c r="D579" s="1"/>
      <c r="E579" s="1"/>
      <c r="F579" s="24">
        <f t="shared" si="13"/>
        <v>0</v>
      </c>
    </row>
    <row r="580" spans="2:6" x14ac:dyDescent="0.25">
      <c r="B580" s="1"/>
      <c r="C580" s="1"/>
      <c r="D580" s="1"/>
      <c r="E580" s="1"/>
      <c r="F580" s="24">
        <f t="shared" si="13"/>
        <v>0</v>
      </c>
    </row>
    <row r="581" spans="2:6" x14ac:dyDescent="0.25">
      <c r="B581" s="1"/>
      <c r="C581" s="1"/>
      <c r="D581" s="1"/>
      <c r="E581" s="1"/>
      <c r="F581" s="24">
        <f t="shared" si="13"/>
        <v>0</v>
      </c>
    </row>
    <row r="582" spans="2:6" x14ac:dyDescent="0.25">
      <c r="B582" s="10" t="s">
        <v>20</v>
      </c>
      <c r="C582" s="1"/>
      <c r="D582" s="1"/>
      <c r="E582" s="4">
        <f>SUM(E569:E581)</f>
        <v>643.5</v>
      </c>
      <c r="F582" s="22">
        <f>SUM(F569:F581)</f>
        <v>189.08674188998586</v>
      </c>
    </row>
    <row r="583" spans="2:6" x14ac:dyDescent="0.25">
      <c r="B583" s="4" t="s">
        <v>22</v>
      </c>
      <c r="C583" s="6"/>
      <c r="D583" s="6"/>
      <c r="E583" s="6"/>
      <c r="F583" s="23">
        <f>F567+F582</f>
        <v>204.76674188998587</v>
      </c>
    </row>
    <row r="584" spans="2:6" x14ac:dyDescent="0.25">
      <c r="B584" s="7"/>
      <c r="C584" s="7"/>
      <c r="D584" s="7"/>
      <c r="E584" s="7"/>
      <c r="F584" s="7"/>
    </row>
    <row r="585" spans="2:6" x14ac:dyDescent="0.25">
      <c r="B585" s="13"/>
      <c r="C585" s="13"/>
      <c r="D585" s="13"/>
      <c r="E585" s="13"/>
      <c r="F585" s="13"/>
    </row>
    <row r="586" spans="2:6" x14ac:dyDescent="0.25">
      <c r="B586" s="13"/>
      <c r="C586" s="13"/>
      <c r="D586" s="13"/>
      <c r="E586" s="13"/>
      <c r="F586" s="13"/>
    </row>
    <row r="587" spans="2:6" ht="15" customHeight="1" x14ac:dyDescent="0.25">
      <c r="B587" s="39" t="s">
        <v>23</v>
      </c>
      <c r="C587" s="39"/>
      <c r="D587" s="39"/>
      <c r="E587" s="39" t="s">
        <v>24</v>
      </c>
      <c r="F587" s="39"/>
    </row>
    <row r="589" spans="2:6" ht="34.9" customHeight="1" x14ac:dyDescent="0.25">
      <c r="B589" s="37" t="s">
        <v>89</v>
      </c>
      <c r="C589" s="37"/>
      <c r="D589" s="37"/>
      <c r="E589" s="37"/>
      <c r="F589" s="37"/>
    </row>
    <row r="590" spans="2:6" ht="29.45" customHeight="1" x14ac:dyDescent="0.25">
      <c r="B590" s="37" t="s">
        <v>1</v>
      </c>
      <c r="C590" s="37"/>
      <c r="D590" s="37"/>
      <c r="E590" s="37"/>
      <c r="F590" s="37"/>
    </row>
    <row r="591" spans="2:6" x14ac:dyDescent="0.25">
      <c r="B591" s="14" t="s">
        <v>0</v>
      </c>
      <c r="C591" s="14"/>
      <c r="D591" s="14"/>
      <c r="E591" s="14"/>
      <c r="F591" s="14"/>
    </row>
    <row r="592" spans="2:6" ht="15" customHeight="1" x14ac:dyDescent="0.25">
      <c r="B592" s="12"/>
      <c r="C592" s="38" t="s">
        <v>25</v>
      </c>
      <c r="D592" s="38"/>
      <c r="E592" s="12">
        <v>280.2</v>
      </c>
      <c r="F592" s="12" t="s">
        <v>26</v>
      </c>
    </row>
    <row r="594" spans="2:6" ht="60" x14ac:dyDescent="0.25">
      <c r="B594" s="1" t="s">
        <v>2</v>
      </c>
      <c r="C594" s="1" t="s">
        <v>4</v>
      </c>
      <c r="D594" s="1" t="s">
        <v>3</v>
      </c>
      <c r="E594" s="1" t="s">
        <v>447</v>
      </c>
      <c r="F594" s="1" t="s">
        <v>5</v>
      </c>
    </row>
    <row r="595" spans="2:6" x14ac:dyDescent="0.25">
      <c r="B595" s="1"/>
      <c r="C595" s="1"/>
      <c r="D595" s="1"/>
      <c r="E595" s="1"/>
      <c r="F595" s="1"/>
    </row>
    <row r="596" spans="2:6" x14ac:dyDescent="0.25">
      <c r="B596" s="3" t="s">
        <v>6</v>
      </c>
      <c r="C596" s="1"/>
      <c r="D596" s="1"/>
      <c r="E596" s="1"/>
      <c r="F596" s="1"/>
    </row>
    <row r="597" spans="2:6" x14ac:dyDescent="0.25">
      <c r="B597" s="5" t="s">
        <v>7</v>
      </c>
      <c r="C597" s="1"/>
      <c r="D597" s="1"/>
      <c r="E597" s="1"/>
      <c r="F597" s="5">
        <v>2.0099999999999998</v>
      </c>
    </row>
    <row r="598" spans="2:6" x14ac:dyDescent="0.25">
      <c r="B598" s="5" t="s">
        <v>8</v>
      </c>
      <c r="C598" s="1"/>
      <c r="D598" s="1"/>
      <c r="E598" s="1"/>
      <c r="F598" s="5">
        <v>5.34</v>
      </c>
    </row>
    <row r="599" spans="2:6" ht="24.75" x14ac:dyDescent="0.25">
      <c r="B599" s="5" t="s">
        <v>11</v>
      </c>
      <c r="C599" s="1"/>
      <c r="D599" s="1"/>
      <c r="E599" s="1"/>
      <c r="F599" s="5">
        <v>0.55000000000000004</v>
      </c>
    </row>
    <row r="600" spans="2:6" ht="24.75" x14ac:dyDescent="0.25">
      <c r="B600" s="5" t="s">
        <v>12</v>
      </c>
      <c r="C600" s="1"/>
      <c r="D600" s="1"/>
      <c r="E600" s="1"/>
      <c r="F600" s="5">
        <v>0.53</v>
      </c>
    </row>
    <row r="601" spans="2:6" ht="24.75" x14ac:dyDescent="0.25">
      <c r="B601" s="5" t="s">
        <v>13</v>
      </c>
      <c r="C601" s="1"/>
      <c r="D601" s="1"/>
      <c r="E601" s="1"/>
      <c r="F601" s="5">
        <v>0.19</v>
      </c>
    </row>
    <row r="602" spans="2:6" ht="24.75" x14ac:dyDescent="0.25">
      <c r="B602" s="5" t="s">
        <v>9</v>
      </c>
      <c r="C602" s="1"/>
      <c r="D602" s="1"/>
      <c r="E602" s="1"/>
      <c r="F602" s="5">
        <v>0.26</v>
      </c>
    </row>
    <row r="603" spans="2:6" ht="24.75" x14ac:dyDescent="0.25">
      <c r="B603" s="5" t="s">
        <v>15</v>
      </c>
      <c r="C603" s="1"/>
      <c r="D603" s="1"/>
      <c r="E603" s="1"/>
      <c r="F603" s="5">
        <v>0.27</v>
      </c>
    </row>
    <row r="604" spans="2:6" ht="24.75" x14ac:dyDescent="0.25">
      <c r="B604" s="5" t="s">
        <v>16</v>
      </c>
      <c r="C604" s="1"/>
      <c r="D604" s="1"/>
      <c r="E604" s="1"/>
      <c r="F604" s="5">
        <v>0.28999999999999998</v>
      </c>
    </row>
    <row r="605" spans="2:6" x14ac:dyDescent="0.25">
      <c r="B605" s="5" t="s">
        <v>17</v>
      </c>
      <c r="C605" s="1"/>
      <c r="D605" s="1"/>
      <c r="E605" s="1"/>
      <c r="F605" s="5">
        <v>0.32</v>
      </c>
    </row>
    <row r="606" spans="2:6" x14ac:dyDescent="0.25">
      <c r="B606" s="5" t="s">
        <v>18</v>
      </c>
      <c r="C606" s="1"/>
      <c r="D606" s="1"/>
      <c r="E606" s="1"/>
      <c r="F606" s="5">
        <v>1.97</v>
      </c>
    </row>
    <row r="607" spans="2:6" x14ac:dyDescent="0.25">
      <c r="B607" s="5" t="s">
        <v>19</v>
      </c>
      <c r="C607" s="1"/>
      <c r="D607" s="1"/>
      <c r="E607" s="1"/>
      <c r="F607" s="5">
        <v>3.95</v>
      </c>
    </row>
    <row r="608" spans="2:6" x14ac:dyDescent="0.25">
      <c r="B608" s="10" t="s">
        <v>20</v>
      </c>
      <c r="C608" s="1"/>
      <c r="D608" s="1"/>
      <c r="E608" s="1"/>
      <c r="F608" s="4">
        <f>SUM(F597:F607)</f>
        <v>15.68</v>
      </c>
    </row>
    <row r="609" spans="2:6" x14ac:dyDescent="0.25">
      <c r="B609" s="3" t="s">
        <v>21</v>
      </c>
      <c r="C609" s="1"/>
      <c r="D609" s="1"/>
      <c r="E609" s="1"/>
      <c r="F609" s="1"/>
    </row>
    <row r="610" spans="2:6" x14ac:dyDescent="0.25">
      <c r="B610" s="1" t="s">
        <v>326</v>
      </c>
      <c r="C610" s="1" t="s">
        <v>26</v>
      </c>
      <c r="D610" s="1">
        <v>13</v>
      </c>
      <c r="E610" s="1">
        <v>19.5</v>
      </c>
      <c r="F610" s="24">
        <f>E610/280.2*1000/12</f>
        <v>5.7994289793005001</v>
      </c>
    </row>
    <row r="611" spans="2:6" x14ac:dyDescent="0.25">
      <c r="B611" s="1" t="s">
        <v>327</v>
      </c>
      <c r="C611" s="1" t="s">
        <v>261</v>
      </c>
      <c r="D611" s="1">
        <v>101</v>
      </c>
      <c r="E611" s="1">
        <v>86</v>
      </c>
      <c r="F611" s="24">
        <f t="shared" ref="F611:F621" si="14">E611/280.2*1000/12</f>
        <v>25.576968831786818</v>
      </c>
    </row>
    <row r="612" spans="2:6" x14ac:dyDescent="0.25">
      <c r="B612" s="1" t="s">
        <v>275</v>
      </c>
      <c r="C612" s="1" t="s">
        <v>26</v>
      </c>
      <c r="D612" s="1">
        <v>57</v>
      </c>
      <c r="E612" s="1">
        <v>85.5</v>
      </c>
      <c r="F612" s="24">
        <f t="shared" si="14"/>
        <v>25.428265524625271</v>
      </c>
    </row>
    <row r="613" spans="2:6" x14ac:dyDescent="0.25">
      <c r="B613" s="1" t="s">
        <v>390</v>
      </c>
      <c r="C613" s="1" t="s">
        <v>261</v>
      </c>
      <c r="D613" s="1">
        <v>18</v>
      </c>
      <c r="E613" s="1">
        <v>23.4</v>
      </c>
      <c r="F613" s="24">
        <f t="shared" si="14"/>
        <v>6.9593147751605988</v>
      </c>
    </row>
    <row r="614" spans="2:6" x14ac:dyDescent="0.25">
      <c r="B614" s="1" t="s">
        <v>319</v>
      </c>
      <c r="C614" s="1" t="s">
        <v>261</v>
      </c>
      <c r="D614" s="1">
        <v>14</v>
      </c>
      <c r="E614" s="1">
        <v>18.2</v>
      </c>
      <c r="F614" s="24">
        <f t="shared" si="14"/>
        <v>5.4128003806804665</v>
      </c>
    </row>
    <row r="615" spans="2:6" x14ac:dyDescent="0.25">
      <c r="B615" s="1" t="s">
        <v>325</v>
      </c>
      <c r="C615" s="1" t="s">
        <v>261</v>
      </c>
      <c r="D615" s="1">
        <v>19</v>
      </c>
      <c r="E615" s="1">
        <v>36.1</v>
      </c>
      <c r="F615" s="24">
        <f t="shared" si="14"/>
        <v>10.736378777064004</v>
      </c>
    </row>
    <row r="616" spans="2:6" x14ac:dyDescent="0.25">
      <c r="B616" s="1" t="s">
        <v>320</v>
      </c>
      <c r="C616" s="1" t="s">
        <v>261</v>
      </c>
      <c r="D616" s="1">
        <v>5</v>
      </c>
      <c r="E616" s="1">
        <v>9.5</v>
      </c>
      <c r="F616" s="24">
        <f t="shared" si="14"/>
        <v>2.8253628360694747</v>
      </c>
    </row>
    <row r="617" spans="2:6" x14ac:dyDescent="0.25">
      <c r="B617" s="1" t="s">
        <v>322</v>
      </c>
      <c r="C617" s="1" t="s">
        <v>261</v>
      </c>
      <c r="D617" s="1">
        <v>130</v>
      </c>
      <c r="E617" s="1">
        <v>156</v>
      </c>
      <c r="F617" s="24">
        <f t="shared" si="14"/>
        <v>46.395431834404</v>
      </c>
    </row>
    <row r="618" spans="2:6" x14ac:dyDescent="0.25">
      <c r="B618" s="1" t="s">
        <v>323</v>
      </c>
      <c r="C618" s="1" t="s">
        <v>261</v>
      </c>
      <c r="D618" s="1">
        <v>140</v>
      </c>
      <c r="E618" s="1">
        <v>140</v>
      </c>
      <c r="F618" s="24">
        <f t="shared" si="14"/>
        <v>41.636926005234358</v>
      </c>
    </row>
    <row r="619" spans="2:6" x14ac:dyDescent="0.25">
      <c r="B619" s="1"/>
      <c r="C619" s="1"/>
      <c r="D619" s="1"/>
      <c r="E619" s="1"/>
      <c r="F619" s="24">
        <f t="shared" si="14"/>
        <v>0</v>
      </c>
    </row>
    <row r="620" spans="2:6" x14ac:dyDescent="0.25">
      <c r="B620" s="1"/>
      <c r="C620" s="1"/>
      <c r="D620" s="1"/>
      <c r="E620" s="1"/>
      <c r="F620" s="24">
        <f t="shared" si="14"/>
        <v>0</v>
      </c>
    </row>
    <row r="621" spans="2:6" x14ac:dyDescent="0.25">
      <c r="B621" s="1"/>
      <c r="C621" s="1"/>
      <c r="D621" s="1"/>
      <c r="E621" s="1"/>
      <c r="F621" s="24">
        <f t="shared" si="14"/>
        <v>0</v>
      </c>
    </row>
    <row r="622" spans="2:6" x14ac:dyDescent="0.25">
      <c r="B622" s="10" t="s">
        <v>20</v>
      </c>
      <c r="C622" s="1"/>
      <c r="D622" s="1"/>
      <c r="E622" s="4">
        <f>SUM(E610:E621)</f>
        <v>574.20000000000005</v>
      </c>
      <c r="F622" s="22">
        <f>SUM(F610:F621)</f>
        <v>170.77087794432549</v>
      </c>
    </row>
    <row r="623" spans="2:6" x14ac:dyDescent="0.25">
      <c r="B623" s="4" t="s">
        <v>22</v>
      </c>
      <c r="C623" s="6"/>
      <c r="D623" s="6"/>
      <c r="E623" s="6"/>
      <c r="F623" s="23">
        <f>F608+F622</f>
        <v>186.4508779443255</v>
      </c>
    </row>
    <row r="624" spans="2:6" x14ac:dyDescent="0.25">
      <c r="B624" s="7"/>
      <c r="C624" s="7"/>
      <c r="D624" s="7"/>
      <c r="E624" s="7"/>
      <c r="F624" s="7"/>
    </row>
    <row r="625" spans="2:6" x14ac:dyDescent="0.25">
      <c r="B625" s="13"/>
      <c r="C625" s="13"/>
      <c r="D625" s="13"/>
      <c r="E625" s="13"/>
      <c r="F625" s="13"/>
    </row>
    <row r="626" spans="2:6" x14ac:dyDescent="0.25">
      <c r="B626" s="13"/>
      <c r="C626" s="13"/>
      <c r="D626" s="13"/>
      <c r="E626" s="13"/>
      <c r="F626" s="13"/>
    </row>
    <row r="627" spans="2:6" ht="15" customHeight="1" x14ac:dyDescent="0.25">
      <c r="B627" s="39" t="s">
        <v>23</v>
      </c>
      <c r="C627" s="39"/>
      <c r="D627" s="39"/>
      <c r="E627" s="39" t="s">
        <v>24</v>
      </c>
      <c r="F627" s="39"/>
    </row>
    <row r="629" spans="2:6" ht="34.15" customHeight="1" x14ac:dyDescent="0.25">
      <c r="B629" s="37" t="s">
        <v>90</v>
      </c>
      <c r="C629" s="37"/>
      <c r="D629" s="37"/>
      <c r="E629" s="37"/>
      <c r="F629" s="37"/>
    </row>
    <row r="630" spans="2:6" ht="36.6" customHeight="1" x14ac:dyDescent="0.25">
      <c r="B630" s="37" t="s">
        <v>1</v>
      </c>
      <c r="C630" s="37"/>
      <c r="D630" s="37"/>
      <c r="E630" s="37"/>
      <c r="F630" s="37"/>
    </row>
    <row r="631" spans="2:6" x14ac:dyDescent="0.25">
      <c r="B631" s="14" t="s">
        <v>0</v>
      </c>
      <c r="C631" s="14"/>
      <c r="D631" s="14"/>
      <c r="E631" s="14"/>
      <c r="F631" s="14"/>
    </row>
    <row r="632" spans="2:6" ht="15" customHeight="1" x14ac:dyDescent="0.25">
      <c r="B632" s="12"/>
      <c r="C632" s="38" t="s">
        <v>25</v>
      </c>
      <c r="D632" s="38"/>
      <c r="E632" s="12">
        <v>272.7</v>
      </c>
      <c r="F632" s="12" t="s">
        <v>26</v>
      </c>
    </row>
    <row r="634" spans="2:6" ht="60" x14ac:dyDescent="0.25">
      <c r="B634" s="1" t="s">
        <v>2</v>
      </c>
      <c r="C634" s="1" t="s">
        <v>4</v>
      </c>
      <c r="D634" s="1" t="s">
        <v>3</v>
      </c>
      <c r="E634" s="1" t="s">
        <v>447</v>
      </c>
      <c r="F634" s="1" t="s">
        <v>5</v>
      </c>
    </row>
    <row r="635" spans="2:6" x14ac:dyDescent="0.25">
      <c r="B635" s="1"/>
      <c r="C635" s="1"/>
      <c r="D635" s="1"/>
      <c r="E635" s="1"/>
      <c r="F635" s="1"/>
    </row>
    <row r="636" spans="2:6" x14ac:dyDescent="0.25">
      <c r="B636" s="3" t="s">
        <v>6</v>
      </c>
      <c r="C636" s="1"/>
      <c r="D636" s="1"/>
      <c r="E636" s="1"/>
      <c r="F636" s="1"/>
    </row>
    <row r="637" spans="2:6" x14ac:dyDescent="0.25">
      <c r="B637" s="5" t="s">
        <v>7</v>
      </c>
      <c r="C637" s="1"/>
      <c r="D637" s="1"/>
      <c r="E637" s="1"/>
      <c r="F637" s="5">
        <v>2.0099999999999998</v>
      </c>
    </row>
    <row r="638" spans="2:6" x14ac:dyDescent="0.25">
      <c r="B638" s="5" t="s">
        <v>8</v>
      </c>
      <c r="C638" s="1"/>
      <c r="D638" s="1"/>
      <c r="E638" s="1"/>
      <c r="F638" s="5">
        <v>5.34</v>
      </c>
    </row>
    <row r="639" spans="2:6" ht="24.75" x14ac:dyDescent="0.25">
      <c r="B639" s="5" t="s">
        <v>11</v>
      </c>
      <c r="C639" s="1"/>
      <c r="D639" s="1"/>
      <c r="E639" s="1"/>
      <c r="F639" s="5">
        <v>0.55000000000000004</v>
      </c>
    </row>
    <row r="640" spans="2:6" ht="24.75" x14ac:dyDescent="0.25">
      <c r="B640" s="5" t="s">
        <v>12</v>
      </c>
      <c r="C640" s="1"/>
      <c r="D640" s="1"/>
      <c r="E640" s="1"/>
      <c r="F640" s="5">
        <v>0.53</v>
      </c>
    </row>
    <row r="641" spans="2:6" ht="24.75" x14ac:dyDescent="0.25">
      <c r="B641" s="5" t="s">
        <v>13</v>
      </c>
      <c r="C641" s="1"/>
      <c r="D641" s="1"/>
      <c r="E641" s="1"/>
      <c r="F641" s="5">
        <v>0.19</v>
      </c>
    </row>
    <row r="642" spans="2:6" ht="24.75" x14ac:dyDescent="0.25">
      <c r="B642" s="5" t="s">
        <v>9</v>
      </c>
      <c r="C642" s="1"/>
      <c r="D642" s="1"/>
      <c r="E642" s="1"/>
      <c r="F642" s="5">
        <v>0.26</v>
      </c>
    </row>
    <row r="643" spans="2:6" ht="24.75" x14ac:dyDescent="0.25">
      <c r="B643" s="5" t="s">
        <v>15</v>
      </c>
      <c r="C643" s="1"/>
      <c r="D643" s="1"/>
      <c r="E643" s="1"/>
      <c r="F643" s="5">
        <v>0.27</v>
      </c>
    </row>
    <row r="644" spans="2:6" ht="24.75" x14ac:dyDescent="0.25">
      <c r="B644" s="5" t="s">
        <v>16</v>
      </c>
      <c r="C644" s="1"/>
      <c r="D644" s="1"/>
      <c r="E644" s="1"/>
      <c r="F644" s="5">
        <v>0.28999999999999998</v>
      </c>
    </row>
    <row r="645" spans="2:6" x14ac:dyDescent="0.25">
      <c r="B645" s="5" t="s">
        <v>17</v>
      </c>
      <c r="C645" s="1"/>
      <c r="D645" s="1"/>
      <c r="E645" s="1"/>
      <c r="F645" s="5">
        <v>0.32</v>
      </c>
    </row>
    <row r="646" spans="2:6" x14ac:dyDescent="0.25">
      <c r="B646" s="5" t="s">
        <v>18</v>
      </c>
      <c r="C646" s="1"/>
      <c r="D646" s="1"/>
      <c r="E646" s="1"/>
      <c r="F646" s="5">
        <v>1.97</v>
      </c>
    </row>
    <row r="647" spans="2:6" x14ac:dyDescent="0.25">
      <c r="B647" s="5" t="s">
        <v>19</v>
      </c>
      <c r="C647" s="1"/>
      <c r="D647" s="1"/>
      <c r="E647" s="1"/>
      <c r="F647" s="5">
        <v>3.95</v>
      </c>
    </row>
    <row r="648" spans="2:6" x14ac:dyDescent="0.25">
      <c r="B648" s="10" t="s">
        <v>20</v>
      </c>
      <c r="C648" s="1"/>
      <c r="D648" s="1"/>
      <c r="E648" s="1"/>
      <c r="F648" s="4">
        <f>SUM(F637:F647)</f>
        <v>15.68</v>
      </c>
    </row>
    <row r="649" spans="2:6" x14ac:dyDescent="0.25">
      <c r="B649" s="3" t="s">
        <v>21</v>
      </c>
      <c r="C649" s="1"/>
      <c r="D649" s="1"/>
      <c r="E649" s="1"/>
      <c r="F649" s="1"/>
    </row>
    <row r="650" spans="2:6" x14ac:dyDescent="0.25">
      <c r="B650" s="1" t="s">
        <v>317</v>
      </c>
      <c r="C650" s="1" t="s">
        <v>256</v>
      </c>
      <c r="D650" s="1">
        <v>1</v>
      </c>
      <c r="E650" s="1">
        <v>45</v>
      </c>
      <c r="F650" s="24">
        <f>E650/272.7*1000/12</f>
        <v>13.751375137513753</v>
      </c>
    </row>
    <row r="651" spans="2:6" x14ac:dyDescent="0.25">
      <c r="B651" s="1" t="s">
        <v>326</v>
      </c>
      <c r="C651" s="1" t="s">
        <v>26</v>
      </c>
      <c r="D651" s="1">
        <v>25</v>
      </c>
      <c r="E651" s="1">
        <v>37.5</v>
      </c>
      <c r="F651" s="24">
        <f t="shared" ref="F651:F662" si="15">E651/272.7*1000/12</f>
        <v>11.45947928126146</v>
      </c>
    </row>
    <row r="652" spans="2:6" x14ac:dyDescent="0.25">
      <c r="B652" s="1" t="s">
        <v>327</v>
      </c>
      <c r="C652" s="1" t="s">
        <v>261</v>
      </c>
      <c r="D652" s="1">
        <v>105</v>
      </c>
      <c r="E652" s="1">
        <v>89</v>
      </c>
      <c r="F652" s="24">
        <f t="shared" si="15"/>
        <v>27.197164160860535</v>
      </c>
    </row>
    <row r="653" spans="2:6" x14ac:dyDescent="0.25">
      <c r="B653" s="1" t="s">
        <v>275</v>
      </c>
      <c r="C653" s="1" t="s">
        <v>261</v>
      </c>
      <c r="D653" s="1">
        <v>56</v>
      </c>
      <c r="E653" s="1">
        <v>84</v>
      </c>
      <c r="F653" s="24">
        <f t="shared" si="15"/>
        <v>25.669233590025669</v>
      </c>
    </row>
    <row r="654" spans="2:6" x14ac:dyDescent="0.25">
      <c r="B654" s="1" t="s">
        <v>320</v>
      </c>
      <c r="C654" s="1" t="s">
        <v>261</v>
      </c>
      <c r="D654" s="1">
        <v>15</v>
      </c>
      <c r="E654" s="1">
        <v>28.5</v>
      </c>
      <c r="F654" s="24">
        <f t="shared" si="15"/>
        <v>8.7092042537587098</v>
      </c>
    </row>
    <row r="655" spans="2:6" x14ac:dyDescent="0.25">
      <c r="B655" s="1" t="s">
        <v>325</v>
      </c>
      <c r="C655" s="1" t="s">
        <v>261</v>
      </c>
      <c r="D655" s="1">
        <v>18</v>
      </c>
      <c r="E655" s="1">
        <v>34.200000000000003</v>
      </c>
      <c r="F655" s="24">
        <f t="shared" si="15"/>
        <v>10.451045104510452</v>
      </c>
    </row>
    <row r="656" spans="2:6" x14ac:dyDescent="0.25">
      <c r="B656" s="1" t="s">
        <v>322</v>
      </c>
      <c r="C656" s="1" t="s">
        <v>261</v>
      </c>
      <c r="D656" s="1">
        <v>130</v>
      </c>
      <c r="E656" s="1">
        <v>156</v>
      </c>
      <c r="F656" s="24">
        <f t="shared" si="15"/>
        <v>47.671433810047667</v>
      </c>
    </row>
    <row r="657" spans="2:6" x14ac:dyDescent="0.25">
      <c r="B657" s="1" t="s">
        <v>323</v>
      </c>
      <c r="C657" s="1" t="s">
        <v>261</v>
      </c>
      <c r="D657" s="1">
        <v>140</v>
      </c>
      <c r="E657" s="1">
        <v>140</v>
      </c>
      <c r="F657" s="24">
        <f t="shared" si="15"/>
        <v>42.782055983376118</v>
      </c>
    </row>
    <row r="658" spans="2:6" x14ac:dyDescent="0.25">
      <c r="B658" s="1"/>
      <c r="C658" s="1"/>
      <c r="D658" s="1"/>
      <c r="E658" s="1"/>
      <c r="F658" s="24">
        <f t="shared" si="15"/>
        <v>0</v>
      </c>
    </row>
    <row r="659" spans="2:6" x14ac:dyDescent="0.25">
      <c r="B659" s="1"/>
      <c r="C659" s="1"/>
      <c r="D659" s="1"/>
      <c r="E659" s="1"/>
      <c r="F659" s="24">
        <f t="shared" si="15"/>
        <v>0</v>
      </c>
    </row>
    <row r="660" spans="2:6" x14ac:dyDescent="0.25">
      <c r="B660" s="1"/>
      <c r="C660" s="1"/>
      <c r="D660" s="1"/>
      <c r="E660" s="1"/>
      <c r="F660" s="24">
        <f t="shared" si="15"/>
        <v>0</v>
      </c>
    </row>
    <row r="661" spans="2:6" x14ac:dyDescent="0.25">
      <c r="B661" s="1"/>
      <c r="C661" s="1"/>
      <c r="D661" s="1"/>
      <c r="E661" s="1"/>
      <c r="F661" s="24">
        <f t="shared" si="15"/>
        <v>0</v>
      </c>
    </row>
    <row r="662" spans="2:6" x14ac:dyDescent="0.25">
      <c r="B662" s="1"/>
      <c r="C662" s="1"/>
      <c r="D662" s="1"/>
      <c r="E662" s="1"/>
      <c r="F662" s="24">
        <f t="shared" si="15"/>
        <v>0</v>
      </c>
    </row>
    <row r="663" spans="2:6" x14ac:dyDescent="0.25">
      <c r="B663" s="10" t="s">
        <v>20</v>
      </c>
      <c r="C663" s="1"/>
      <c r="D663" s="1"/>
      <c r="E663" s="4">
        <f>SUM(E650:E662)</f>
        <v>614.20000000000005</v>
      </c>
      <c r="F663" s="22">
        <f>SUM(F650:F662)</f>
        <v>187.69099132135437</v>
      </c>
    </row>
    <row r="664" spans="2:6" x14ac:dyDescent="0.25">
      <c r="B664" s="4" t="s">
        <v>22</v>
      </c>
      <c r="C664" s="6"/>
      <c r="D664" s="6"/>
      <c r="E664" s="6"/>
      <c r="F664" s="23">
        <f>F648+F663</f>
        <v>203.37099132135438</v>
      </c>
    </row>
    <row r="665" spans="2:6" x14ac:dyDescent="0.25">
      <c r="B665" s="7"/>
      <c r="C665" s="7"/>
      <c r="D665" s="7"/>
      <c r="E665" s="7"/>
      <c r="F665" s="7"/>
    </row>
    <row r="666" spans="2:6" x14ac:dyDescent="0.25">
      <c r="B666" s="13"/>
      <c r="C666" s="13"/>
      <c r="D666" s="13"/>
      <c r="E666" s="13"/>
      <c r="F666" s="13"/>
    </row>
    <row r="667" spans="2:6" x14ac:dyDescent="0.25">
      <c r="B667" s="13"/>
      <c r="C667" s="13"/>
      <c r="D667" s="13"/>
      <c r="E667" s="13"/>
      <c r="F667" s="13"/>
    </row>
    <row r="668" spans="2:6" ht="15" customHeight="1" x14ac:dyDescent="0.25">
      <c r="B668" s="39" t="s">
        <v>23</v>
      </c>
      <c r="C668" s="39"/>
      <c r="D668" s="39"/>
      <c r="E668" s="39" t="s">
        <v>24</v>
      </c>
      <c r="F668" s="39"/>
    </row>
    <row r="670" spans="2:6" ht="39" customHeight="1" x14ac:dyDescent="0.25">
      <c r="B670" s="37" t="s">
        <v>91</v>
      </c>
      <c r="C670" s="37"/>
      <c r="D670" s="37"/>
      <c r="E670" s="37"/>
      <c r="F670" s="37"/>
    </row>
    <row r="671" spans="2:6" ht="30.6" customHeight="1" x14ac:dyDescent="0.25">
      <c r="B671" s="37" t="s">
        <v>1</v>
      </c>
      <c r="C671" s="37"/>
      <c r="D671" s="37"/>
      <c r="E671" s="37"/>
      <c r="F671" s="37"/>
    </row>
    <row r="672" spans="2:6" x14ac:dyDescent="0.25">
      <c r="B672" s="14" t="s">
        <v>0</v>
      </c>
      <c r="C672" s="14"/>
      <c r="D672" s="14"/>
      <c r="E672" s="14"/>
      <c r="F672" s="14"/>
    </row>
    <row r="673" spans="2:6" ht="15" customHeight="1" x14ac:dyDescent="0.25">
      <c r="B673" s="12"/>
      <c r="C673" s="38" t="s">
        <v>25</v>
      </c>
      <c r="D673" s="38"/>
      <c r="E673" s="12">
        <v>282.8</v>
      </c>
      <c r="F673" s="12" t="s">
        <v>26</v>
      </c>
    </row>
    <row r="675" spans="2:6" ht="60" x14ac:dyDescent="0.25">
      <c r="B675" s="1" t="s">
        <v>2</v>
      </c>
      <c r="C675" s="1" t="s">
        <v>4</v>
      </c>
      <c r="D675" s="1" t="s">
        <v>3</v>
      </c>
      <c r="E675" s="1" t="s">
        <v>447</v>
      </c>
      <c r="F675" s="1" t="s">
        <v>5</v>
      </c>
    </row>
    <row r="676" spans="2:6" x14ac:dyDescent="0.25">
      <c r="B676" s="1"/>
      <c r="C676" s="1"/>
      <c r="D676" s="1"/>
      <c r="E676" s="1"/>
      <c r="F676" s="1"/>
    </row>
    <row r="677" spans="2:6" x14ac:dyDescent="0.25">
      <c r="B677" s="3" t="s">
        <v>6</v>
      </c>
      <c r="C677" s="1"/>
      <c r="D677" s="1"/>
      <c r="E677" s="1"/>
      <c r="F677" s="1"/>
    </row>
    <row r="678" spans="2:6" x14ac:dyDescent="0.25">
      <c r="B678" s="5" t="s">
        <v>7</v>
      </c>
      <c r="C678" s="1"/>
      <c r="D678" s="1"/>
      <c r="E678" s="1"/>
      <c r="F678" s="5">
        <v>2.0099999999999998</v>
      </c>
    </row>
    <row r="679" spans="2:6" x14ac:dyDescent="0.25">
      <c r="B679" s="5" t="s">
        <v>8</v>
      </c>
      <c r="C679" s="1"/>
      <c r="D679" s="1"/>
      <c r="E679" s="1"/>
      <c r="F679" s="5">
        <v>5.34</v>
      </c>
    </row>
    <row r="680" spans="2:6" ht="24.75" x14ac:dyDescent="0.25">
      <c r="B680" s="5" t="s">
        <v>11</v>
      </c>
      <c r="C680" s="1"/>
      <c r="D680" s="1"/>
      <c r="E680" s="1"/>
      <c r="F680" s="5">
        <v>0.55000000000000004</v>
      </c>
    </row>
    <row r="681" spans="2:6" ht="24.75" x14ac:dyDescent="0.25">
      <c r="B681" s="5" t="s">
        <v>12</v>
      </c>
      <c r="C681" s="1"/>
      <c r="D681" s="1"/>
      <c r="E681" s="1"/>
      <c r="F681" s="5">
        <v>0.53</v>
      </c>
    </row>
    <row r="682" spans="2:6" ht="24.75" x14ac:dyDescent="0.25">
      <c r="B682" s="5" t="s">
        <v>13</v>
      </c>
      <c r="C682" s="1"/>
      <c r="D682" s="1"/>
      <c r="E682" s="1"/>
      <c r="F682" s="5">
        <v>0.19</v>
      </c>
    </row>
    <row r="683" spans="2:6" ht="24.75" x14ac:dyDescent="0.25">
      <c r="B683" s="5" t="s">
        <v>9</v>
      </c>
      <c r="C683" s="1"/>
      <c r="D683" s="1"/>
      <c r="E683" s="1"/>
      <c r="F683" s="5">
        <v>0.26</v>
      </c>
    </row>
    <row r="684" spans="2:6" ht="24.75" x14ac:dyDescent="0.25">
      <c r="B684" s="5" t="s">
        <v>15</v>
      </c>
      <c r="C684" s="1"/>
      <c r="D684" s="1"/>
      <c r="E684" s="1"/>
      <c r="F684" s="5">
        <v>0.27</v>
      </c>
    </row>
    <row r="685" spans="2:6" ht="24.75" x14ac:dyDescent="0.25">
      <c r="B685" s="5" t="s">
        <v>16</v>
      </c>
      <c r="C685" s="1"/>
      <c r="D685" s="1"/>
      <c r="E685" s="1"/>
      <c r="F685" s="5">
        <v>0.28999999999999998</v>
      </c>
    </row>
    <row r="686" spans="2:6" x14ac:dyDescent="0.25">
      <c r="B686" s="5" t="s">
        <v>17</v>
      </c>
      <c r="C686" s="1"/>
      <c r="D686" s="1"/>
      <c r="E686" s="1"/>
      <c r="F686" s="5">
        <v>0.32</v>
      </c>
    </row>
    <row r="687" spans="2:6" x14ac:dyDescent="0.25">
      <c r="B687" s="5" t="s">
        <v>18</v>
      </c>
      <c r="C687" s="1"/>
      <c r="D687" s="1"/>
      <c r="E687" s="1"/>
      <c r="F687" s="5">
        <v>1.97</v>
      </c>
    </row>
    <row r="688" spans="2:6" x14ac:dyDescent="0.25">
      <c r="B688" s="5" t="s">
        <v>19</v>
      </c>
      <c r="C688" s="1"/>
      <c r="D688" s="1"/>
      <c r="E688" s="1"/>
      <c r="F688" s="5">
        <v>3.95</v>
      </c>
    </row>
    <row r="689" spans="2:6" x14ac:dyDescent="0.25">
      <c r="B689" s="10" t="s">
        <v>20</v>
      </c>
      <c r="C689" s="1"/>
      <c r="D689" s="1"/>
      <c r="E689" s="1"/>
      <c r="F689" s="4">
        <f>SUM(F678:F688)</f>
        <v>15.68</v>
      </c>
    </row>
    <row r="690" spans="2:6" x14ac:dyDescent="0.25">
      <c r="B690" s="3" t="s">
        <v>21</v>
      </c>
      <c r="C690" s="1"/>
      <c r="D690" s="1"/>
      <c r="E690" s="1"/>
      <c r="F690" s="1"/>
    </row>
    <row r="691" spans="2:6" x14ac:dyDescent="0.25">
      <c r="B691" s="1"/>
      <c r="C691" s="1"/>
      <c r="D691" s="1"/>
      <c r="E691" s="1"/>
      <c r="F691" s="24"/>
    </row>
    <row r="692" spans="2:6" x14ac:dyDescent="0.25">
      <c r="B692" s="1" t="s">
        <v>327</v>
      </c>
      <c r="C692" s="1" t="s">
        <v>261</v>
      </c>
      <c r="D692" s="1">
        <v>105</v>
      </c>
      <c r="E692" s="1">
        <v>105</v>
      </c>
      <c r="F692" s="24">
        <f t="shared" ref="F692:F703" si="16">E692/282.8*1000/12</f>
        <v>30.940594059405939</v>
      </c>
    </row>
    <row r="693" spans="2:6" x14ac:dyDescent="0.25">
      <c r="B693" s="1" t="s">
        <v>401</v>
      </c>
      <c r="C693" s="1" t="s">
        <v>265</v>
      </c>
      <c r="D693" s="1">
        <v>1</v>
      </c>
      <c r="E693" s="1">
        <v>10</v>
      </c>
      <c r="F693" s="24">
        <f t="shared" si="16"/>
        <v>2.9467232437529467</v>
      </c>
    </row>
    <row r="694" spans="2:6" x14ac:dyDescent="0.25">
      <c r="B694" s="1" t="s">
        <v>335</v>
      </c>
      <c r="C694" s="1" t="s">
        <v>26</v>
      </c>
      <c r="D694" s="1">
        <v>30</v>
      </c>
      <c r="E694" s="1">
        <v>18</v>
      </c>
      <c r="F694" s="24">
        <f t="shared" si="16"/>
        <v>5.3041018387553036</v>
      </c>
    </row>
    <row r="695" spans="2:6" x14ac:dyDescent="0.25">
      <c r="B695" s="1" t="s">
        <v>390</v>
      </c>
      <c r="C695" s="1" t="s">
        <v>261</v>
      </c>
      <c r="D695" s="1">
        <v>18</v>
      </c>
      <c r="E695" s="1">
        <v>23.4</v>
      </c>
      <c r="F695" s="24">
        <f t="shared" si="16"/>
        <v>6.8953323903818955</v>
      </c>
    </row>
    <row r="696" spans="2:6" x14ac:dyDescent="0.25">
      <c r="B696" s="1" t="s">
        <v>319</v>
      </c>
      <c r="C696" s="1" t="s">
        <v>261</v>
      </c>
      <c r="D696" s="1">
        <v>8</v>
      </c>
      <c r="E696" s="1">
        <v>10.4</v>
      </c>
      <c r="F696" s="24">
        <f t="shared" si="16"/>
        <v>3.064592173503065</v>
      </c>
    </row>
    <row r="697" spans="2:6" x14ac:dyDescent="0.25">
      <c r="B697" s="1" t="s">
        <v>342</v>
      </c>
      <c r="C697" s="1" t="s">
        <v>265</v>
      </c>
      <c r="D697" s="1">
        <v>1</v>
      </c>
      <c r="E697" s="1">
        <v>14</v>
      </c>
      <c r="F697" s="24">
        <f t="shared" si="16"/>
        <v>4.1254125412541249</v>
      </c>
    </row>
    <row r="698" spans="2:6" x14ac:dyDescent="0.25">
      <c r="B698" s="1" t="s">
        <v>320</v>
      </c>
      <c r="C698" s="1" t="s">
        <v>261</v>
      </c>
      <c r="D698" s="1">
        <v>15</v>
      </c>
      <c r="E698" s="1">
        <v>28.5</v>
      </c>
      <c r="F698" s="24">
        <f t="shared" si="16"/>
        <v>8.3981612446958973</v>
      </c>
    </row>
    <row r="699" spans="2:6" x14ac:dyDescent="0.25">
      <c r="B699" s="1" t="s">
        <v>325</v>
      </c>
      <c r="C699" s="1" t="s">
        <v>261</v>
      </c>
      <c r="D699" s="1">
        <v>18</v>
      </c>
      <c r="E699" s="1">
        <v>34.200000000000003</v>
      </c>
      <c r="F699" s="24">
        <f t="shared" si="16"/>
        <v>10.077793493635077</v>
      </c>
    </row>
    <row r="700" spans="2:6" x14ac:dyDescent="0.25">
      <c r="B700" s="1" t="s">
        <v>322</v>
      </c>
      <c r="C700" s="1" t="s">
        <v>261</v>
      </c>
      <c r="D700" s="1">
        <v>130</v>
      </c>
      <c r="E700" s="1">
        <v>156</v>
      </c>
      <c r="F700" s="24">
        <f t="shared" si="16"/>
        <v>45.96888260254596</v>
      </c>
    </row>
    <row r="701" spans="2:6" x14ac:dyDescent="0.25">
      <c r="B701" s="1" t="s">
        <v>323</v>
      </c>
      <c r="C701" s="1" t="s">
        <v>261</v>
      </c>
      <c r="D701" s="1">
        <v>140</v>
      </c>
      <c r="E701" s="1">
        <v>140</v>
      </c>
      <c r="F701" s="24">
        <f t="shared" si="16"/>
        <v>41.254125412541249</v>
      </c>
    </row>
    <row r="702" spans="2:6" x14ac:dyDescent="0.25">
      <c r="B702" s="1"/>
      <c r="C702" s="1"/>
      <c r="D702" s="1"/>
      <c r="E702" s="1"/>
      <c r="F702" s="24">
        <f t="shared" si="16"/>
        <v>0</v>
      </c>
    </row>
    <row r="703" spans="2:6" x14ac:dyDescent="0.25">
      <c r="B703" s="1"/>
      <c r="C703" s="1"/>
      <c r="D703" s="1"/>
      <c r="E703" s="1"/>
      <c r="F703" s="24">
        <f t="shared" si="16"/>
        <v>0</v>
      </c>
    </row>
    <row r="704" spans="2:6" x14ac:dyDescent="0.25">
      <c r="B704" s="10" t="s">
        <v>20</v>
      </c>
      <c r="C704" s="1"/>
      <c r="D704" s="1"/>
      <c r="E704" s="4">
        <f>SUM(E691:E703)</f>
        <v>539.5</v>
      </c>
      <c r="F704" s="22">
        <f>SUM(F691:F703)</f>
        <v>158.97571900047146</v>
      </c>
    </row>
    <row r="705" spans="2:6" x14ac:dyDescent="0.25">
      <c r="B705" s="4" t="s">
        <v>22</v>
      </c>
      <c r="C705" s="6"/>
      <c r="D705" s="6"/>
      <c r="E705" s="6"/>
      <c r="F705" s="23">
        <f>F689+F704</f>
        <v>174.65571900047146</v>
      </c>
    </row>
    <row r="706" spans="2:6" x14ac:dyDescent="0.25">
      <c r="B706" s="7"/>
      <c r="C706" s="7"/>
      <c r="D706" s="7"/>
      <c r="E706" s="7"/>
      <c r="F706" s="7"/>
    </row>
    <row r="707" spans="2:6" x14ac:dyDescent="0.25">
      <c r="B707" s="13"/>
      <c r="C707" s="13"/>
      <c r="D707" s="13"/>
      <c r="E707" s="13"/>
      <c r="F707" s="13"/>
    </row>
    <row r="708" spans="2:6" x14ac:dyDescent="0.25">
      <c r="B708" s="13"/>
      <c r="C708" s="13"/>
      <c r="D708" s="13"/>
      <c r="E708" s="13"/>
      <c r="F708" s="13"/>
    </row>
    <row r="709" spans="2:6" ht="15" customHeight="1" x14ac:dyDescent="0.25">
      <c r="B709" s="39" t="s">
        <v>23</v>
      </c>
      <c r="C709" s="39"/>
      <c r="D709" s="39"/>
      <c r="E709" s="39" t="s">
        <v>24</v>
      </c>
      <c r="F709" s="39"/>
    </row>
    <row r="711" spans="2:6" ht="37.9" customHeight="1" x14ac:dyDescent="0.25">
      <c r="B711" s="37" t="s">
        <v>92</v>
      </c>
      <c r="C711" s="37"/>
      <c r="D711" s="37"/>
      <c r="E711" s="37"/>
      <c r="F711" s="37"/>
    </row>
    <row r="712" spans="2:6" ht="29.45" customHeight="1" x14ac:dyDescent="0.25">
      <c r="B712" s="37" t="s">
        <v>1</v>
      </c>
      <c r="C712" s="37"/>
      <c r="D712" s="37"/>
      <c r="E712" s="37"/>
      <c r="F712" s="37"/>
    </row>
    <row r="713" spans="2:6" x14ac:dyDescent="0.25">
      <c r="B713" s="14" t="s">
        <v>0</v>
      </c>
      <c r="C713" s="14"/>
      <c r="D713" s="14"/>
      <c r="E713" s="14"/>
      <c r="F713" s="14"/>
    </row>
    <row r="714" spans="2:6" ht="15" customHeight="1" x14ac:dyDescent="0.25">
      <c r="B714" s="12"/>
      <c r="C714" s="38" t="s">
        <v>25</v>
      </c>
      <c r="D714" s="38"/>
      <c r="E714" s="12">
        <v>2585.6999999999998</v>
      </c>
      <c r="F714" s="12" t="s">
        <v>26</v>
      </c>
    </row>
    <row r="716" spans="2:6" ht="60" x14ac:dyDescent="0.25">
      <c r="B716" s="1" t="s">
        <v>2</v>
      </c>
      <c r="C716" s="1" t="s">
        <v>4</v>
      </c>
      <c r="D716" s="1" t="s">
        <v>3</v>
      </c>
      <c r="E716" s="1" t="s">
        <v>447</v>
      </c>
      <c r="F716" s="1" t="s">
        <v>5</v>
      </c>
    </row>
    <row r="717" spans="2:6" x14ac:dyDescent="0.25">
      <c r="B717" s="1"/>
      <c r="C717" s="1"/>
      <c r="D717" s="1"/>
      <c r="E717" s="1"/>
      <c r="F717" s="1"/>
    </row>
    <row r="718" spans="2:6" x14ac:dyDescent="0.25">
      <c r="B718" s="3" t="s">
        <v>6</v>
      </c>
      <c r="C718" s="1"/>
      <c r="D718" s="1"/>
      <c r="E718" s="1"/>
      <c r="F718" s="1"/>
    </row>
    <row r="719" spans="2:6" x14ac:dyDescent="0.25">
      <c r="B719" s="5" t="s">
        <v>7</v>
      </c>
      <c r="C719" s="1"/>
      <c r="D719" s="1"/>
      <c r="E719" s="1"/>
      <c r="F719" s="5">
        <v>2.0099999999999998</v>
      </c>
    </row>
    <row r="720" spans="2:6" x14ac:dyDescent="0.25">
      <c r="B720" s="5" t="s">
        <v>8</v>
      </c>
      <c r="C720" s="1"/>
      <c r="D720" s="1"/>
      <c r="E720" s="1"/>
      <c r="F720" s="5">
        <v>5.34</v>
      </c>
    </row>
    <row r="721" spans="2:6" x14ac:dyDescent="0.25">
      <c r="B721" s="15" t="s">
        <v>30</v>
      </c>
      <c r="C721" s="1"/>
      <c r="D721" s="1"/>
      <c r="E721" s="1"/>
      <c r="F721" s="5">
        <v>0.06</v>
      </c>
    </row>
    <row r="722" spans="2:6" ht="24.75" x14ac:dyDescent="0.25">
      <c r="B722" s="5" t="s">
        <v>11</v>
      </c>
      <c r="C722" s="1"/>
      <c r="D722" s="1"/>
      <c r="E722" s="1"/>
      <c r="F722" s="5">
        <v>0.55000000000000004</v>
      </c>
    </row>
    <row r="723" spans="2:6" ht="24.75" x14ac:dyDescent="0.25">
      <c r="B723" s="5" t="s">
        <v>12</v>
      </c>
      <c r="C723" s="1"/>
      <c r="D723" s="1"/>
      <c r="E723" s="1"/>
      <c r="F723" s="5">
        <v>0.53</v>
      </c>
    </row>
    <row r="724" spans="2:6" ht="24.75" x14ac:dyDescent="0.25">
      <c r="B724" s="5" t="s">
        <v>13</v>
      </c>
      <c r="C724" s="1"/>
      <c r="D724" s="1"/>
      <c r="E724" s="1"/>
      <c r="F724" s="5">
        <v>0.19</v>
      </c>
    </row>
    <row r="725" spans="2:6" ht="24.75" x14ac:dyDescent="0.25">
      <c r="B725" s="5" t="s">
        <v>14</v>
      </c>
      <c r="C725" s="1"/>
      <c r="D725" s="1"/>
      <c r="E725" s="1"/>
      <c r="F725" s="5">
        <v>1.25</v>
      </c>
    </row>
    <row r="726" spans="2:6" ht="24.75" x14ac:dyDescent="0.25">
      <c r="B726" s="5" t="s">
        <v>9</v>
      </c>
      <c r="C726" s="1"/>
      <c r="D726" s="1"/>
      <c r="E726" s="1"/>
      <c r="F726" s="5">
        <v>0.26</v>
      </c>
    </row>
    <row r="727" spans="2:6" ht="24.75" x14ac:dyDescent="0.25">
      <c r="B727" s="5" t="s">
        <v>15</v>
      </c>
      <c r="C727" s="1"/>
      <c r="D727" s="1"/>
      <c r="E727" s="1"/>
      <c r="F727" s="5">
        <v>0.27</v>
      </c>
    </row>
    <row r="728" spans="2:6" ht="24.75" x14ac:dyDescent="0.25">
      <c r="B728" s="5" t="s">
        <v>16</v>
      </c>
      <c r="C728" s="1"/>
      <c r="D728" s="1"/>
      <c r="E728" s="1"/>
      <c r="F728" s="5">
        <v>0.28999999999999998</v>
      </c>
    </row>
    <row r="729" spans="2:6" x14ac:dyDescent="0.25">
      <c r="B729" s="5" t="s">
        <v>17</v>
      </c>
      <c r="C729" s="1"/>
      <c r="D729" s="1"/>
      <c r="E729" s="1"/>
      <c r="F729" s="5">
        <v>0.32</v>
      </c>
    </row>
    <row r="730" spans="2:6" x14ac:dyDescent="0.25">
      <c r="B730" s="5" t="s">
        <v>18</v>
      </c>
      <c r="C730" s="1"/>
      <c r="D730" s="1"/>
      <c r="E730" s="1"/>
      <c r="F730" s="5">
        <v>1.97</v>
      </c>
    </row>
    <row r="731" spans="2:6" x14ac:dyDescent="0.25">
      <c r="B731" s="5" t="s">
        <v>19</v>
      </c>
      <c r="C731" s="1"/>
      <c r="D731" s="1"/>
      <c r="E731" s="1"/>
      <c r="F731" s="5">
        <v>3.95</v>
      </c>
    </row>
    <row r="732" spans="2:6" x14ac:dyDescent="0.25">
      <c r="B732" s="10" t="s">
        <v>20</v>
      </c>
      <c r="C732" s="1"/>
      <c r="D732" s="1"/>
      <c r="E732" s="1"/>
      <c r="F732" s="4">
        <f>SUM(F719:F731)</f>
        <v>16.989999999999998</v>
      </c>
    </row>
    <row r="733" spans="2:6" x14ac:dyDescent="0.25">
      <c r="B733" s="3" t="s">
        <v>21</v>
      </c>
      <c r="C733" s="1"/>
      <c r="D733" s="1"/>
      <c r="E733" s="1"/>
      <c r="F733" s="1"/>
    </row>
    <row r="734" spans="2:6" x14ac:dyDescent="0.25">
      <c r="B734" s="1" t="s">
        <v>317</v>
      </c>
      <c r="C734" s="1" t="s">
        <v>256</v>
      </c>
      <c r="D734" s="1">
        <v>1</v>
      </c>
      <c r="E734" s="1">
        <v>60</v>
      </c>
      <c r="F734" s="24">
        <f>E734/2585.7*1000/12</f>
        <v>1.9337123409521599</v>
      </c>
    </row>
    <row r="735" spans="2:6" x14ac:dyDescent="0.25">
      <c r="B735" s="1"/>
      <c r="C735" s="1"/>
      <c r="D735" s="1"/>
      <c r="E735" s="1"/>
      <c r="F735" s="24"/>
    </row>
    <row r="736" spans="2:6" x14ac:dyDescent="0.25">
      <c r="B736" s="1" t="s">
        <v>319</v>
      </c>
      <c r="C736" s="1" t="s">
        <v>261</v>
      </c>
      <c r="D736" s="1">
        <v>20</v>
      </c>
      <c r="E736" s="1">
        <v>26</v>
      </c>
      <c r="F736" s="24">
        <f t="shared" ref="F735:F746" si="17">E736/2585.7*1000/12</f>
        <v>0.83794201441260274</v>
      </c>
    </row>
    <row r="737" spans="2:6" x14ac:dyDescent="0.25">
      <c r="B737" s="1" t="s">
        <v>325</v>
      </c>
      <c r="C737" s="1" t="s">
        <v>261</v>
      </c>
      <c r="D737" s="1">
        <v>50</v>
      </c>
      <c r="E737" s="1">
        <v>95</v>
      </c>
      <c r="F737" s="24">
        <f t="shared" si="17"/>
        <v>3.0617112065075869</v>
      </c>
    </row>
    <row r="738" spans="2:6" x14ac:dyDescent="0.25">
      <c r="B738" s="1" t="s">
        <v>321</v>
      </c>
      <c r="C738" s="1" t="s">
        <v>256</v>
      </c>
      <c r="D738" s="1">
        <v>3</v>
      </c>
      <c r="E738" s="1">
        <v>450</v>
      </c>
      <c r="F738" s="24">
        <f t="shared" si="17"/>
        <v>14.5028425571412</v>
      </c>
    </row>
    <row r="739" spans="2:6" x14ac:dyDescent="0.25">
      <c r="B739" s="1" t="s">
        <v>392</v>
      </c>
      <c r="C739" s="1" t="s">
        <v>26</v>
      </c>
      <c r="D739" s="1">
        <v>360</v>
      </c>
      <c r="E739" s="1">
        <v>540</v>
      </c>
      <c r="F739" s="24">
        <f t="shared" si="17"/>
        <v>17.40341106856944</v>
      </c>
    </row>
    <row r="740" spans="2:6" x14ac:dyDescent="0.25">
      <c r="B740" s="1" t="s">
        <v>322</v>
      </c>
      <c r="C740" s="1" t="s">
        <v>261</v>
      </c>
      <c r="D740" s="1">
        <v>250</v>
      </c>
      <c r="E740" s="1">
        <v>300</v>
      </c>
      <c r="F740" s="24">
        <f t="shared" si="17"/>
        <v>9.6685617047608012</v>
      </c>
    </row>
    <row r="741" spans="2:6" x14ac:dyDescent="0.25">
      <c r="B741" s="1" t="s">
        <v>323</v>
      </c>
      <c r="C741" s="1" t="s">
        <v>261</v>
      </c>
      <c r="D741" s="1">
        <v>950</v>
      </c>
      <c r="E741" s="1">
        <v>950</v>
      </c>
      <c r="F741" s="24">
        <f t="shared" si="17"/>
        <v>30.617112065075869</v>
      </c>
    </row>
    <row r="742" spans="2:6" x14ac:dyDescent="0.25">
      <c r="B742" s="1"/>
      <c r="C742" s="1"/>
      <c r="D742" s="1"/>
      <c r="E742" s="1"/>
      <c r="F742" s="24">
        <f t="shared" si="17"/>
        <v>0</v>
      </c>
    </row>
    <row r="743" spans="2:6" x14ac:dyDescent="0.25">
      <c r="B743" s="1"/>
      <c r="C743" s="1"/>
      <c r="D743" s="1"/>
      <c r="E743" s="1"/>
      <c r="F743" s="24">
        <f t="shared" si="17"/>
        <v>0</v>
      </c>
    </row>
    <row r="744" spans="2:6" x14ac:dyDescent="0.25">
      <c r="B744" s="1"/>
      <c r="C744" s="1"/>
      <c r="D744" s="1"/>
      <c r="E744" s="1"/>
      <c r="F744" s="24">
        <f t="shared" si="17"/>
        <v>0</v>
      </c>
    </row>
    <row r="745" spans="2:6" x14ac:dyDescent="0.25">
      <c r="B745" s="1"/>
      <c r="C745" s="1"/>
      <c r="D745" s="1"/>
      <c r="E745" s="1"/>
      <c r="F745" s="24">
        <f t="shared" si="17"/>
        <v>0</v>
      </c>
    </row>
    <row r="746" spans="2:6" x14ac:dyDescent="0.25">
      <c r="B746" s="1"/>
      <c r="C746" s="1"/>
      <c r="D746" s="1"/>
      <c r="E746" s="1"/>
      <c r="F746" s="24">
        <f t="shared" si="17"/>
        <v>0</v>
      </c>
    </row>
    <row r="747" spans="2:6" x14ac:dyDescent="0.25">
      <c r="B747" s="10" t="s">
        <v>20</v>
      </c>
      <c r="C747" s="1"/>
      <c r="D747" s="1"/>
      <c r="E747" s="4">
        <f>SUM(E734:E746)</f>
        <v>2421</v>
      </c>
      <c r="F747" s="22">
        <f>SUM(F734:F746)</f>
        <v>78.025292957419666</v>
      </c>
    </row>
    <row r="748" spans="2:6" x14ac:dyDescent="0.25">
      <c r="B748" s="4" t="s">
        <v>22</v>
      </c>
      <c r="C748" s="6"/>
      <c r="D748" s="6"/>
      <c r="E748" s="6"/>
      <c r="F748" s="23">
        <f>F732+F747</f>
        <v>95.015292957419661</v>
      </c>
    </row>
    <row r="749" spans="2:6" x14ac:dyDescent="0.25">
      <c r="B749" s="7"/>
      <c r="C749" s="7"/>
      <c r="D749" s="7"/>
      <c r="E749" s="7"/>
      <c r="F749" s="7"/>
    </row>
    <row r="750" spans="2:6" x14ac:dyDescent="0.25">
      <c r="B750" s="13"/>
      <c r="C750" s="13"/>
      <c r="D750" s="13"/>
      <c r="E750" s="13"/>
      <c r="F750" s="13"/>
    </row>
    <row r="751" spans="2:6" x14ac:dyDescent="0.25">
      <c r="B751" s="13"/>
      <c r="C751" s="13"/>
      <c r="D751" s="13"/>
      <c r="E751" s="13"/>
      <c r="F751" s="13"/>
    </row>
    <row r="752" spans="2:6" ht="15" customHeight="1" x14ac:dyDescent="0.25">
      <c r="B752" s="39" t="s">
        <v>23</v>
      </c>
      <c r="C752" s="39"/>
      <c r="D752" s="39"/>
      <c r="E752" s="39" t="s">
        <v>24</v>
      </c>
      <c r="F752" s="39"/>
    </row>
    <row r="754" spans="2:6" ht="33.6" customHeight="1" x14ac:dyDescent="0.25">
      <c r="B754" s="37" t="s">
        <v>93</v>
      </c>
      <c r="C754" s="37"/>
      <c r="D754" s="37"/>
      <c r="E754" s="37"/>
      <c r="F754" s="37"/>
    </row>
    <row r="755" spans="2:6" ht="30.6" customHeight="1" x14ac:dyDescent="0.25">
      <c r="B755" s="37" t="s">
        <v>1</v>
      </c>
      <c r="C755" s="37"/>
      <c r="D755" s="37"/>
      <c r="E755" s="37"/>
      <c r="F755" s="37"/>
    </row>
    <row r="756" spans="2:6" x14ac:dyDescent="0.25">
      <c r="B756" s="14" t="s">
        <v>0</v>
      </c>
      <c r="C756" s="14"/>
      <c r="D756" s="14"/>
      <c r="E756" s="14"/>
      <c r="F756" s="14"/>
    </row>
    <row r="757" spans="2:6" ht="15" customHeight="1" x14ac:dyDescent="0.25">
      <c r="B757" s="12"/>
      <c r="C757" s="38" t="s">
        <v>25</v>
      </c>
      <c r="D757" s="38"/>
      <c r="E757" s="12">
        <v>282.60000000000002</v>
      </c>
      <c r="F757" s="12" t="s">
        <v>26</v>
      </c>
    </row>
    <row r="759" spans="2:6" ht="60" x14ac:dyDescent="0.25">
      <c r="B759" s="1" t="s">
        <v>2</v>
      </c>
      <c r="C759" s="1" t="s">
        <v>4</v>
      </c>
      <c r="D759" s="1" t="s">
        <v>3</v>
      </c>
      <c r="E759" s="1" t="s">
        <v>447</v>
      </c>
      <c r="F759" s="1" t="s">
        <v>5</v>
      </c>
    </row>
    <row r="760" spans="2:6" x14ac:dyDescent="0.25">
      <c r="B760" s="1"/>
      <c r="C760" s="1"/>
      <c r="D760" s="1"/>
      <c r="E760" s="1"/>
      <c r="F760" s="1"/>
    </row>
    <row r="761" spans="2:6" x14ac:dyDescent="0.25">
      <c r="B761" s="3" t="s">
        <v>6</v>
      </c>
      <c r="C761" s="1"/>
      <c r="D761" s="1"/>
      <c r="E761" s="1"/>
      <c r="F761" s="1"/>
    </row>
    <row r="762" spans="2:6" x14ac:dyDescent="0.25">
      <c r="B762" s="5" t="s">
        <v>7</v>
      </c>
      <c r="C762" s="1"/>
      <c r="D762" s="1"/>
      <c r="E762" s="1"/>
      <c r="F762" s="5">
        <v>2.0099999999999998</v>
      </c>
    </row>
    <row r="763" spans="2:6" x14ac:dyDescent="0.25">
      <c r="B763" s="5" t="s">
        <v>8</v>
      </c>
      <c r="C763" s="1"/>
      <c r="D763" s="1"/>
      <c r="E763" s="1"/>
      <c r="F763" s="5">
        <v>5.34</v>
      </c>
    </row>
    <row r="764" spans="2:6" ht="24.75" x14ac:dyDescent="0.25">
      <c r="B764" s="5" t="s">
        <v>11</v>
      </c>
      <c r="C764" s="1"/>
      <c r="D764" s="1"/>
      <c r="E764" s="1"/>
      <c r="F764" s="5">
        <v>0.55000000000000004</v>
      </c>
    </row>
    <row r="765" spans="2:6" ht="24.75" x14ac:dyDescent="0.25">
      <c r="B765" s="5" t="s">
        <v>12</v>
      </c>
      <c r="C765" s="1"/>
      <c r="D765" s="1"/>
      <c r="E765" s="1"/>
      <c r="F765" s="5">
        <v>0.53</v>
      </c>
    </row>
    <row r="766" spans="2:6" ht="24.75" x14ac:dyDescent="0.25">
      <c r="B766" s="5" t="s">
        <v>13</v>
      </c>
      <c r="C766" s="1"/>
      <c r="D766" s="1"/>
      <c r="E766" s="1"/>
      <c r="F766" s="5">
        <v>0.19</v>
      </c>
    </row>
    <row r="767" spans="2:6" ht="24.75" x14ac:dyDescent="0.25">
      <c r="B767" s="5" t="s">
        <v>9</v>
      </c>
      <c r="C767" s="1"/>
      <c r="D767" s="1"/>
      <c r="E767" s="1"/>
      <c r="F767" s="5">
        <v>0.26</v>
      </c>
    </row>
    <row r="768" spans="2:6" ht="24.75" x14ac:dyDescent="0.25">
      <c r="B768" s="5" t="s">
        <v>15</v>
      </c>
      <c r="C768" s="1"/>
      <c r="D768" s="1"/>
      <c r="E768" s="1"/>
      <c r="F768" s="5">
        <v>0.27</v>
      </c>
    </row>
    <row r="769" spans="2:6" ht="24.75" x14ac:dyDescent="0.25">
      <c r="B769" s="5" t="s">
        <v>16</v>
      </c>
      <c r="C769" s="1"/>
      <c r="D769" s="1"/>
      <c r="E769" s="1"/>
      <c r="F769" s="5">
        <v>0.28999999999999998</v>
      </c>
    </row>
    <row r="770" spans="2:6" x14ac:dyDescent="0.25">
      <c r="B770" s="5" t="s">
        <v>17</v>
      </c>
      <c r="C770" s="1"/>
      <c r="D770" s="1"/>
      <c r="E770" s="1"/>
      <c r="F770" s="5">
        <v>0.32</v>
      </c>
    </row>
    <row r="771" spans="2:6" x14ac:dyDescent="0.25">
      <c r="B771" s="5" t="s">
        <v>18</v>
      </c>
      <c r="C771" s="1"/>
      <c r="D771" s="1"/>
      <c r="E771" s="1"/>
      <c r="F771" s="5">
        <v>1.97</v>
      </c>
    </row>
    <row r="772" spans="2:6" x14ac:dyDescent="0.25">
      <c r="B772" s="5" t="s">
        <v>19</v>
      </c>
      <c r="C772" s="1"/>
      <c r="D772" s="1"/>
      <c r="E772" s="1"/>
      <c r="F772" s="5">
        <v>3.95</v>
      </c>
    </row>
    <row r="773" spans="2:6" x14ac:dyDescent="0.25">
      <c r="B773" s="10" t="s">
        <v>20</v>
      </c>
      <c r="C773" s="1"/>
      <c r="D773" s="1"/>
      <c r="E773" s="1"/>
      <c r="F773" s="4">
        <f>SUM(F762:F772)</f>
        <v>15.68</v>
      </c>
    </row>
    <row r="774" spans="2:6" x14ac:dyDescent="0.25">
      <c r="B774" s="3" t="s">
        <v>21</v>
      </c>
      <c r="C774" s="1"/>
      <c r="D774" s="1"/>
      <c r="E774" s="1"/>
      <c r="F774" s="1"/>
    </row>
    <row r="775" spans="2:6" x14ac:dyDescent="0.25">
      <c r="B775" s="1" t="s">
        <v>317</v>
      </c>
      <c r="C775" s="1" t="s">
        <v>256</v>
      </c>
      <c r="D775" s="1">
        <v>1</v>
      </c>
      <c r="E775" s="1">
        <v>45</v>
      </c>
      <c r="F775" s="24">
        <f>E775/282.6*1000/12</f>
        <v>13.269639065817408</v>
      </c>
    </row>
    <row r="776" spans="2:6" x14ac:dyDescent="0.25">
      <c r="B776" s="1" t="s">
        <v>326</v>
      </c>
      <c r="C776" s="1" t="s">
        <v>26</v>
      </c>
      <c r="D776" s="1">
        <v>80</v>
      </c>
      <c r="E776" s="1">
        <v>120</v>
      </c>
      <c r="F776" s="24">
        <f t="shared" ref="F776:F787" si="18">E776/282.6*1000/12</f>
        <v>35.385704175513091</v>
      </c>
    </row>
    <row r="777" spans="2:6" x14ac:dyDescent="0.25">
      <c r="B777" s="1" t="s">
        <v>327</v>
      </c>
      <c r="C777" s="1" t="s">
        <v>261</v>
      </c>
      <c r="D777" s="1">
        <v>100</v>
      </c>
      <c r="E777" s="1">
        <v>100</v>
      </c>
      <c r="F777" s="24">
        <f t="shared" si="18"/>
        <v>29.488086812927573</v>
      </c>
    </row>
    <row r="778" spans="2:6" x14ac:dyDescent="0.25">
      <c r="B778" s="1" t="s">
        <v>402</v>
      </c>
      <c r="C778" s="1" t="s">
        <v>265</v>
      </c>
      <c r="D778" s="1">
        <v>1</v>
      </c>
      <c r="E778" s="1">
        <v>10</v>
      </c>
      <c r="F778" s="24">
        <f t="shared" si="18"/>
        <v>2.948808681292757</v>
      </c>
    </row>
    <row r="779" spans="2:6" x14ac:dyDescent="0.25">
      <c r="B779" s="1" t="s">
        <v>275</v>
      </c>
      <c r="C779" s="1" t="s">
        <v>26</v>
      </c>
      <c r="D779" s="1">
        <v>60</v>
      </c>
      <c r="E779" s="1">
        <v>90</v>
      </c>
      <c r="F779" s="24">
        <f t="shared" si="18"/>
        <v>26.539278131634816</v>
      </c>
    </row>
    <row r="780" spans="2:6" x14ac:dyDescent="0.25">
      <c r="B780" s="1" t="s">
        <v>318</v>
      </c>
      <c r="C780" s="1" t="s">
        <v>26</v>
      </c>
      <c r="D780" s="1">
        <v>540</v>
      </c>
      <c r="E780" s="1">
        <v>432</v>
      </c>
      <c r="F780" s="24">
        <f t="shared" si="18"/>
        <v>127.38853503184713</v>
      </c>
    </row>
    <row r="781" spans="2:6" x14ac:dyDescent="0.25">
      <c r="B781" s="1"/>
      <c r="C781" s="1"/>
      <c r="D781" s="1"/>
      <c r="E781" s="1"/>
      <c r="F781" s="24"/>
    </row>
    <row r="782" spans="2:6" x14ac:dyDescent="0.25">
      <c r="B782" s="1" t="s">
        <v>403</v>
      </c>
      <c r="C782" s="1" t="s">
        <v>261</v>
      </c>
      <c r="D782" s="1">
        <v>18</v>
      </c>
      <c r="E782" s="1">
        <v>34.200000000000003</v>
      </c>
      <c r="F782" s="24">
        <f t="shared" si="18"/>
        <v>10.084925690021231</v>
      </c>
    </row>
    <row r="783" spans="2:6" x14ac:dyDescent="0.25">
      <c r="B783" s="1" t="s">
        <v>404</v>
      </c>
      <c r="C783" s="1" t="s">
        <v>261</v>
      </c>
      <c r="D783" s="1">
        <v>9</v>
      </c>
      <c r="E783" s="1">
        <v>17.100000000000001</v>
      </c>
      <c r="F783" s="24">
        <f t="shared" si="18"/>
        <v>5.0424628450106157</v>
      </c>
    </row>
    <row r="784" spans="2:6" x14ac:dyDescent="0.25">
      <c r="B784" s="1" t="s">
        <v>322</v>
      </c>
      <c r="C784" s="1" t="s">
        <v>261</v>
      </c>
      <c r="D784" s="1">
        <v>130</v>
      </c>
      <c r="E784" s="1">
        <v>156</v>
      </c>
      <c r="F784" s="24">
        <f t="shared" si="18"/>
        <v>46.001415428167014</v>
      </c>
    </row>
    <row r="785" spans="2:6" x14ac:dyDescent="0.25">
      <c r="B785" s="1" t="s">
        <v>323</v>
      </c>
      <c r="C785" s="1" t="s">
        <v>261</v>
      </c>
      <c r="D785" s="1">
        <v>140</v>
      </c>
      <c r="E785" s="1">
        <v>140</v>
      </c>
      <c r="F785" s="24">
        <f t="shared" si="18"/>
        <v>41.283321538098605</v>
      </c>
    </row>
    <row r="786" spans="2:6" x14ac:dyDescent="0.25">
      <c r="B786" s="1"/>
      <c r="C786" s="1"/>
      <c r="D786" s="1"/>
      <c r="E786" s="1"/>
      <c r="F786" s="24">
        <f t="shared" si="18"/>
        <v>0</v>
      </c>
    </row>
    <row r="787" spans="2:6" x14ac:dyDescent="0.25">
      <c r="B787" s="1"/>
      <c r="C787" s="1"/>
      <c r="D787" s="1"/>
      <c r="E787" s="1"/>
      <c r="F787" s="24">
        <f t="shared" si="18"/>
        <v>0</v>
      </c>
    </row>
    <row r="788" spans="2:6" x14ac:dyDescent="0.25">
      <c r="B788" s="10" t="s">
        <v>20</v>
      </c>
      <c r="C788" s="1"/>
      <c r="D788" s="1"/>
      <c r="E788" s="4">
        <f>SUM(E775:E787)</f>
        <v>1144.3000000000002</v>
      </c>
      <c r="F788" s="22">
        <f>SUM(F775:F787)</f>
        <v>337.43217740033026</v>
      </c>
    </row>
    <row r="789" spans="2:6" x14ac:dyDescent="0.25">
      <c r="B789" s="4" t="s">
        <v>22</v>
      </c>
      <c r="C789" s="6"/>
      <c r="D789" s="6"/>
      <c r="E789" s="6"/>
      <c r="F789" s="23">
        <f>F773+F788</f>
        <v>353.11217740033027</v>
      </c>
    </row>
    <row r="790" spans="2:6" x14ac:dyDescent="0.25">
      <c r="B790" s="7"/>
      <c r="C790" s="7"/>
      <c r="D790" s="7"/>
      <c r="E790" s="7"/>
      <c r="F790" s="7"/>
    </row>
    <row r="791" spans="2:6" x14ac:dyDescent="0.25">
      <c r="B791" s="13"/>
      <c r="C791" s="13"/>
      <c r="D791" s="13"/>
      <c r="E791" s="13"/>
      <c r="F791" s="13"/>
    </row>
    <row r="792" spans="2:6" x14ac:dyDescent="0.25">
      <c r="B792" s="13"/>
      <c r="C792" s="13"/>
      <c r="D792" s="13"/>
      <c r="E792" s="13"/>
      <c r="F792" s="13"/>
    </row>
    <row r="793" spans="2:6" ht="15" customHeight="1" x14ac:dyDescent="0.25">
      <c r="B793" s="39" t="s">
        <v>23</v>
      </c>
      <c r="C793" s="39"/>
      <c r="D793" s="39"/>
      <c r="E793" s="39" t="s">
        <v>24</v>
      </c>
      <c r="F793" s="39"/>
    </row>
    <row r="795" spans="2:6" ht="31.15" customHeight="1" x14ac:dyDescent="0.25">
      <c r="B795" s="37" t="s">
        <v>94</v>
      </c>
      <c r="C795" s="37"/>
      <c r="D795" s="37"/>
      <c r="E795" s="37"/>
      <c r="F795" s="37"/>
    </row>
    <row r="796" spans="2:6" ht="31.9" customHeight="1" x14ac:dyDescent="0.25">
      <c r="B796" s="37" t="s">
        <v>1</v>
      </c>
      <c r="C796" s="37"/>
      <c r="D796" s="37"/>
      <c r="E796" s="37"/>
      <c r="F796" s="37"/>
    </row>
    <row r="797" spans="2:6" x14ac:dyDescent="0.25">
      <c r="B797" s="14" t="s">
        <v>0</v>
      </c>
      <c r="C797" s="14"/>
      <c r="D797" s="14"/>
      <c r="E797" s="14"/>
      <c r="F797" s="14"/>
    </row>
    <row r="798" spans="2:6" ht="15" customHeight="1" x14ac:dyDescent="0.25">
      <c r="B798" s="12"/>
      <c r="C798" s="38" t="s">
        <v>25</v>
      </c>
      <c r="D798" s="38"/>
      <c r="E798" s="12">
        <v>2580.4</v>
      </c>
      <c r="F798" s="12" t="s">
        <v>26</v>
      </c>
    </row>
    <row r="800" spans="2:6" ht="60" x14ac:dyDescent="0.25">
      <c r="B800" s="1" t="s">
        <v>2</v>
      </c>
      <c r="C800" s="1" t="s">
        <v>4</v>
      </c>
      <c r="D800" s="1" t="s">
        <v>3</v>
      </c>
      <c r="E800" s="1" t="s">
        <v>447</v>
      </c>
      <c r="F800" s="1" t="s">
        <v>5</v>
      </c>
    </row>
    <row r="801" spans="2:6" x14ac:dyDescent="0.25">
      <c r="B801" s="1"/>
      <c r="C801" s="1"/>
      <c r="D801" s="1"/>
      <c r="E801" s="1"/>
      <c r="F801" s="1"/>
    </row>
    <row r="802" spans="2:6" x14ac:dyDescent="0.25">
      <c r="B802" s="3" t="s">
        <v>6</v>
      </c>
      <c r="C802" s="1"/>
      <c r="D802" s="1"/>
      <c r="E802" s="1"/>
      <c r="F802" s="1"/>
    </row>
    <row r="803" spans="2:6" x14ac:dyDescent="0.25">
      <c r="B803" s="5" t="s">
        <v>7</v>
      </c>
      <c r="C803" s="1"/>
      <c r="D803" s="1"/>
      <c r="E803" s="1"/>
      <c r="F803" s="5">
        <v>2.0099999999999998</v>
      </c>
    </row>
    <row r="804" spans="2:6" x14ac:dyDescent="0.25">
      <c r="B804" s="5" t="s">
        <v>8</v>
      </c>
      <c r="C804" s="1"/>
      <c r="D804" s="1"/>
      <c r="E804" s="1"/>
      <c r="F804" s="5">
        <v>5.34</v>
      </c>
    </row>
    <row r="805" spans="2:6" x14ac:dyDescent="0.25">
      <c r="B805" s="15" t="s">
        <v>30</v>
      </c>
      <c r="C805" s="1"/>
      <c r="D805" s="1"/>
      <c r="E805" s="1"/>
      <c r="F805" s="5">
        <v>0.06</v>
      </c>
    </row>
    <row r="806" spans="2:6" ht="24.75" x14ac:dyDescent="0.25">
      <c r="B806" s="5" t="s">
        <v>11</v>
      </c>
      <c r="C806" s="1"/>
      <c r="D806" s="1"/>
      <c r="E806" s="1"/>
      <c r="F806" s="5">
        <v>0.55000000000000004</v>
      </c>
    </row>
    <row r="807" spans="2:6" ht="24.75" x14ac:dyDescent="0.25">
      <c r="B807" s="5" t="s">
        <v>12</v>
      </c>
      <c r="C807" s="1"/>
      <c r="D807" s="1"/>
      <c r="E807" s="1"/>
      <c r="F807" s="5">
        <v>0.53</v>
      </c>
    </row>
    <row r="808" spans="2:6" ht="24.75" x14ac:dyDescent="0.25">
      <c r="B808" s="5" t="s">
        <v>13</v>
      </c>
      <c r="C808" s="1"/>
      <c r="D808" s="1"/>
      <c r="E808" s="1"/>
      <c r="F808" s="5">
        <v>0.19</v>
      </c>
    </row>
    <row r="809" spans="2:6" ht="24.75" x14ac:dyDescent="0.25">
      <c r="B809" s="5" t="s">
        <v>14</v>
      </c>
      <c r="C809" s="1"/>
      <c r="D809" s="1"/>
      <c r="E809" s="1"/>
      <c r="F809" s="5">
        <v>1.25</v>
      </c>
    </row>
    <row r="810" spans="2:6" ht="24.75" x14ac:dyDescent="0.25">
      <c r="B810" s="5" t="s">
        <v>9</v>
      </c>
      <c r="C810" s="1"/>
      <c r="D810" s="1"/>
      <c r="E810" s="1"/>
      <c r="F810" s="5">
        <v>0.26</v>
      </c>
    </row>
    <row r="811" spans="2:6" ht="24.75" x14ac:dyDescent="0.25">
      <c r="B811" s="5" t="s">
        <v>15</v>
      </c>
      <c r="C811" s="1"/>
      <c r="D811" s="1"/>
      <c r="E811" s="1"/>
      <c r="F811" s="5">
        <v>0.27</v>
      </c>
    </row>
    <row r="812" spans="2:6" ht="24.75" x14ac:dyDescent="0.25">
      <c r="B812" s="5" t="s">
        <v>16</v>
      </c>
      <c r="C812" s="1"/>
      <c r="D812" s="1"/>
      <c r="E812" s="1"/>
      <c r="F812" s="5">
        <v>0.28999999999999998</v>
      </c>
    </row>
    <row r="813" spans="2:6" x14ac:dyDescent="0.25">
      <c r="B813" s="5" t="s">
        <v>17</v>
      </c>
      <c r="C813" s="1"/>
      <c r="D813" s="1"/>
      <c r="E813" s="1"/>
      <c r="F813" s="5">
        <v>0.32</v>
      </c>
    </row>
    <row r="814" spans="2:6" x14ac:dyDescent="0.25">
      <c r="B814" s="5" t="s">
        <v>18</v>
      </c>
      <c r="C814" s="1"/>
      <c r="D814" s="1"/>
      <c r="E814" s="1"/>
      <c r="F814" s="5">
        <v>1.97</v>
      </c>
    </row>
    <row r="815" spans="2:6" x14ac:dyDescent="0.25">
      <c r="B815" s="5" t="s">
        <v>19</v>
      </c>
      <c r="C815" s="1"/>
      <c r="D815" s="1"/>
      <c r="E815" s="1"/>
      <c r="F815" s="5">
        <v>3.95</v>
      </c>
    </row>
    <row r="816" spans="2:6" x14ac:dyDescent="0.25">
      <c r="B816" s="10" t="s">
        <v>20</v>
      </c>
      <c r="C816" s="1"/>
      <c r="D816" s="1"/>
      <c r="E816" s="1"/>
      <c r="F816" s="4">
        <f>SUM(F803:F815)</f>
        <v>16.989999999999998</v>
      </c>
    </row>
    <row r="817" spans="2:6" x14ac:dyDescent="0.25">
      <c r="B817" s="3" t="s">
        <v>21</v>
      </c>
      <c r="C817" s="1"/>
      <c r="D817" s="1"/>
      <c r="E817" s="1"/>
      <c r="F817" s="1"/>
    </row>
    <row r="818" spans="2:6" x14ac:dyDescent="0.25">
      <c r="B818" s="1" t="s">
        <v>317</v>
      </c>
      <c r="C818" s="1" t="s">
        <v>256</v>
      </c>
      <c r="D818" s="1">
        <v>1</v>
      </c>
      <c r="E818" s="1">
        <v>60</v>
      </c>
      <c r="F818" s="24">
        <f>E818/2580.4*1000/12</f>
        <v>1.9376840799875987</v>
      </c>
    </row>
    <row r="819" spans="2:6" x14ac:dyDescent="0.25">
      <c r="B819" s="1" t="s">
        <v>381</v>
      </c>
      <c r="C819" s="1" t="s">
        <v>406</v>
      </c>
      <c r="D819" s="1">
        <v>3</v>
      </c>
      <c r="E819" s="1">
        <v>10.5</v>
      </c>
      <c r="F819" s="24">
        <f t="shared" ref="F819:F830" si="19">E819/2580.4*1000/12</f>
        <v>0.33909471399782976</v>
      </c>
    </row>
    <row r="820" spans="2:6" x14ac:dyDescent="0.25">
      <c r="B820" s="1" t="s">
        <v>327</v>
      </c>
      <c r="C820" s="1" t="s">
        <v>261</v>
      </c>
      <c r="D820" s="1">
        <v>218</v>
      </c>
      <c r="E820" s="1">
        <v>218</v>
      </c>
      <c r="F820" s="24">
        <f t="shared" si="19"/>
        <v>7.0402521572882755</v>
      </c>
    </row>
    <row r="821" spans="2:6" x14ac:dyDescent="0.25">
      <c r="B821" s="1" t="s">
        <v>334</v>
      </c>
      <c r="C821" s="1" t="s">
        <v>265</v>
      </c>
      <c r="D821" s="1">
        <v>3</v>
      </c>
      <c r="E821" s="1">
        <v>30</v>
      </c>
      <c r="F821" s="24">
        <f t="shared" si="19"/>
        <v>0.96884203999379936</v>
      </c>
    </row>
    <row r="822" spans="2:6" x14ac:dyDescent="0.25">
      <c r="B822" s="1" t="s">
        <v>275</v>
      </c>
      <c r="C822" s="1" t="s">
        <v>26</v>
      </c>
      <c r="D822" s="1">
        <v>126</v>
      </c>
      <c r="E822" s="1">
        <v>189</v>
      </c>
      <c r="F822" s="24">
        <f t="shared" si="19"/>
        <v>6.1037048519609369</v>
      </c>
    </row>
    <row r="823" spans="2:6" x14ac:dyDescent="0.25">
      <c r="B823" s="1" t="s">
        <v>319</v>
      </c>
      <c r="C823" s="1" t="s">
        <v>261</v>
      </c>
      <c r="D823" s="1">
        <v>60</v>
      </c>
      <c r="E823" s="1">
        <v>78</v>
      </c>
      <c r="F823" s="24">
        <f t="shared" si="19"/>
        <v>2.5189893039838784</v>
      </c>
    </row>
    <row r="824" spans="2:6" x14ac:dyDescent="0.25">
      <c r="B824" s="1" t="s">
        <v>320</v>
      </c>
      <c r="C824" s="1" t="s">
        <v>261</v>
      </c>
      <c r="D824" s="1">
        <v>50</v>
      </c>
      <c r="E824" s="1">
        <v>95</v>
      </c>
      <c r="F824" s="24">
        <f t="shared" si="19"/>
        <v>3.0679997933136978</v>
      </c>
    </row>
    <row r="825" spans="2:6" x14ac:dyDescent="0.25">
      <c r="B825" s="1" t="s">
        <v>325</v>
      </c>
      <c r="C825" s="1" t="s">
        <v>261</v>
      </c>
      <c r="D825" s="1">
        <v>60</v>
      </c>
      <c r="E825" s="1">
        <v>114</v>
      </c>
      <c r="F825" s="24">
        <f t="shared" si="19"/>
        <v>3.6815997519764374</v>
      </c>
    </row>
    <row r="826" spans="2:6" x14ac:dyDescent="0.25">
      <c r="B826" s="1" t="s">
        <v>343</v>
      </c>
      <c r="C826" s="1" t="s">
        <v>256</v>
      </c>
      <c r="D826" s="1">
        <v>3</v>
      </c>
      <c r="E826" s="1">
        <v>450</v>
      </c>
      <c r="F826" s="24">
        <f t="shared" si="19"/>
        <v>14.532630599906989</v>
      </c>
    </row>
    <row r="827" spans="2:6" x14ac:dyDescent="0.25">
      <c r="B827" s="1" t="s">
        <v>405</v>
      </c>
      <c r="C827" s="1" t="s">
        <v>261</v>
      </c>
      <c r="D827" s="1">
        <v>250</v>
      </c>
      <c r="E827" s="1">
        <v>300</v>
      </c>
      <c r="F827" s="24">
        <f t="shared" si="19"/>
        <v>9.6884203999379928</v>
      </c>
    </row>
    <row r="828" spans="2:6" x14ac:dyDescent="0.25">
      <c r="B828" s="1" t="s">
        <v>323</v>
      </c>
      <c r="C828" s="1" t="s">
        <v>261</v>
      </c>
      <c r="D828" s="1">
        <v>950</v>
      </c>
      <c r="E828" s="1">
        <v>950</v>
      </c>
      <c r="F828" s="24">
        <f t="shared" si="19"/>
        <v>30.679997933136978</v>
      </c>
    </row>
    <row r="829" spans="2:6" x14ac:dyDescent="0.25">
      <c r="B829" s="1" t="s">
        <v>413</v>
      </c>
      <c r="C829" s="1" t="s">
        <v>261</v>
      </c>
      <c r="D829" s="1">
        <v>100</v>
      </c>
      <c r="E829" s="1">
        <v>50</v>
      </c>
      <c r="F829" s="24">
        <f t="shared" si="19"/>
        <v>1.6147367333229992</v>
      </c>
    </row>
    <row r="830" spans="2:6" x14ac:dyDescent="0.25">
      <c r="B830" s="1"/>
      <c r="C830" s="1"/>
      <c r="D830" s="1"/>
      <c r="E830" s="1"/>
      <c r="F830" s="24">
        <f t="shared" si="19"/>
        <v>0</v>
      </c>
    </row>
    <row r="831" spans="2:6" x14ac:dyDescent="0.25">
      <c r="B831" s="10" t="s">
        <v>20</v>
      </c>
      <c r="C831" s="1"/>
      <c r="D831" s="1"/>
      <c r="E831" s="4">
        <f>SUM(E818:E830)</f>
        <v>2544.5</v>
      </c>
      <c r="F831" s="22">
        <f>SUM(F818:F830)</f>
        <v>82.173952358807412</v>
      </c>
    </row>
    <row r="832" spans="2:6" x14ac:dyDescent="0.25">
      <c r="B832" s="4" t="s">
        <v>22</v>
      </c>
      <c r="C832" s="6"/>
      <c r="D832" s="6"/>
      <c r="E832" s="6"/>
      <c r="F832" s="23">
        <f>F816+F831</f>
        <v>99.163952358807407</v>
      </c>
    </row>
    <row r="833" spans="2:6" x14ac:dyDescent="0.25">
      <c r="B833" s="7"/>
      <c r="C833" s="7"/>
      <c r="D833" s="7"/>
      <c r="E833" s="7"/>
      <c r="F833" s="7"/>
    </row>
    <row r="834" spans="2:6" x14ac:dyDescent="0.25">
      <c r="B834" s="13"/>
      <c r="C834" s="13"/>
      <c r="D834" s="13"/>
      <c r="E834" s="13"/>
      <c r="F834" s="13"/>
    </row>
    <row r="835" spans="2:6" x14ac:dyDescent="0.25">
      <c r="B835" s="13"/>
      <c r="C835" s="13"/>
      <c r="D835" s="13"/>
      <c r="E835" s="13"/>
      <c r="F835" s="13"/>
    </row>
    <row r="836" spans="2:6" ht="15" customHeight="1" x14ac:dyDescent="0.25">
      <c r="B836" s="39" t="s">
        <v>23</v>
      </c>
      <c r="C836" s="39"/>
      <c r="D836" s="39"/>
      <c r="E836" s="39" t="s">
        <v>24</v>
      </c>
      <c r="F836" s="39"/>
    </row>
    <row r="838" spans="2:6" ht="30.6" customHeight="1" x14ac:dyDescent="0.25">
      <c r="B838" s="37" t="s">
        <v>95</v>
      </c>
      <c r="C838" s="37"/>
      <c r="D838" s="37"/>
      <c r="E838" s="37"/>
      <c r="F838" s="37"/>
    </row>
    <row r="839" spans="2:6" ht="34.15" customHeight="1" x14ac:dyDescent="0.25">
      <c r="B839" s="37" t="s">
        <v>1</v>
      </c>
      <c r="C839" s="37"/>
      <c r="D839" s="37"/>
      <c r="E839" s="37"/>
      <c r="F839" s="37"/>
    </row>
    <row r="840" spans="2:6" x14ac:dyDescent="0.25">
      <c r="B840" s="14" t="s">
        <v>0</v>
      </c>
      <c r="C840" s="14"/>
      <c r="D840" s="14"/>
      <c r="E840" s="14"/>
      <c r="F840" s="14"/>
    </row>
    <row r="841" spans="2:6" ht="15" customHeight="1" x14ac:dyDescent="0.25">
      <c r="B841" s="12"/>
      <c r="C841" s="38" t="s">
        <v>25</v>
      </c>
      <c r="D841" s="38"/>
      <c r="E841" s="12">
        <v>2564.6</v>
      </c>
      <c r="F841" s="12" t="s">
        <v>26</v>
      </c>
    </row>
    <row r="843" spans="2:6" ht="60" x14ac:dyDescent="0.25">
      <c r="B843" s="1" t="s">
        <v>2</v>
      </c>
      <c r="C843" s="1" t="s">
        <v>4</v>
      </c>
      <c r="D843" s="1" t="s">
        <v>3</v>
      </c>
      <c r="E843" s="1" t="s">
        <v>447</v>
      </c>
      <c r="F843" s="1" t="s">
        <v>5</v>
      </c>
    </row>
    <row r="844" spans="2:6" x14ac:dyDescent="0.25">
      <c r="B844" s="1"/>
      <c r="C844" s="1"/>
      <c r="D844" s="1"/>
      <c r="E844" s="1"/>
      <c r="F844" s="1"/>
    </row>
    <row r="845" spans="2:6" x14ac:dyDescent="0.25">
      <c r="B845" s="3" t="s">
        <v>6</v>
      </c>
      <c r="C845" s="1"/>
      <c r="D845" s="1"/>
      <c r="E845" s="1"/>
      <c r="F845" s="1"/>
    </row>
    <row r="846" spans="2:6" x14ac:dyDescent="0.25">
      <c r="B846" s="5" t="s">
        <v>7</v>
      </c>
      <c r="C846" s="1"/>
      <c r="D846" s="1"/>
      <c r="E846" s="1"/>
      <c r="F846" s="5">
        <v>2.0099999999999998</v>
      </c>
    </row>
    <row r="847" spans="2:6" x14ac:dyDescent="0.25">
      <c r="B847" s="5" t="s">
        <v>8</v>
      </c>
      <c r="C847" s="1"/>
      <c r="D847" s="1"/>
      <c r="E847" s="1"/>
      <c r="F847" s="5">
        <v>5.34</v>
      </c>
    </row>
    <row r="848" spans="2:6" x14ac:dyDescent="0.25">
      <c r="B848" s="15" t="s">
        <v>30</v>
      </c>
      <c r="C848" s="1"/>
      <c r="D848" s="1"/>
      <c r="E848" s="1"/>
      <c r="F848" s="5">
        <v>0.06</v>
      </c>
    </row>
    <row r="849" spans="2:6" ht="24.75" x14ac:dyDescent="0.25">
      <c r="B849" s="5" t="s">
        <v>11</v>
      </c>
      <c r="C849" s="1"/>
      <c r="D849" s="1"/>
      <c r="E849" s="1"/>
      <c r="F849" s="5">
        <v>0.55000000000000004</v>
      </c>
    </row>
    <row r="850" spans="2:6" ht="24.75" x14ac:dyDescent="0.25">
      <c r="B850" s="5" t="s">
        <v>12</v>
      </c>
      <c r="C850" s="1"/>
      <c r="D850" s="1"/>
      <c r="E850" s="1"/>
      <c r="F850" s="5">
        <v>0.53</v>
      </c>
    </row>
    <row r="851" spans="2:6" ht="24.75" x14ac:dyDescent="0.25">
      <c r="B851" s="5" t="s">
        <v>13</v>
      </c>
      <c r="C851" s="1"/>
      <c r="D851" s="1"/>
      <c r="E851" s="1"/>
      <c r="F851" s="5">
        <v>0.19</v>
      </c>
    </row>
    <row r="852" spans="2:6" ht="24.75" x14ac:dyDescent="0.25">
      <c r="B852" s="5" t="s">
        <v>14</v>
      </c>
      <c r="C852" s="1"/>
      <c r="D852" s="1"/>
      <c r="E852" s="1"/>
      <c r="F852" s="5">
        <v>1.25</v>
      </c>
    </row>
    <row r="853" spans="2:6" ht="24.75" x14ac:dyDescent="0.25">
      <c r="B853" s="5" t="s">
        <v>9</v>
      </c>
      <c r="C853" s="1"/>
      <c r="D853" s="1"/>
      <c r="E853" s="1"/>
      <c r="F853" s="5">
        <v>0.26</v>
      </c>
    </row>
    <row r="854" spans="2:6" ht="24.75" x14ac:dyDescent="0.25">
      <c r="B854" s="5" t="s">
        <v>15</v>
      </c>
      <c r="C854" s="1"/>
      <c r="D854" s="1"/>
      <c r="E854" s="1"/>
      <c r="F854" s="5">
        <v>0.27</v>
      </c>
    </row>
    <row r="855" spans="2:6" ht="24.75" x14ac:dyDescent="0.25">
      <c r="B855" s="5" t="s">
        <v>16</v>
      </c>
      <c r="C855" s="1"/>
      <c r="D855" s="1"/>
      <c r="E855" s="1"/>
      <c r="F855" s="5">
        <v>0.28999999999999998</v>
      </c>
    </row>
    <row r="856" spans="2:6" x14ac:dyDescent="0.25">
      <c r="B856" s="5" t="s">
        <v>17</v>
      </c>
      <c r="C856" s="1"/>
      <c r="D856" s="1"/>
      <c r="E856" s="1"/>
      <c r="F856" s="5">
        <v>0.32</v>
      </c>
    </row>
    <row r="857" spans="2:6" x14ac:dyDescent="0.25">
      <c r="B857" s="5" t="s">
        <v>18</v>
      </c>
      <c r="C857" s="1"/>
      <c r="D857" s="1"/>
      <c r="E857" s="1"/>
      <c r="F857" s="5">
        <v>1.97</v>
      </c>
    </row>
    <row r="858" spans="2:6" x14ac:dyDescent="0.25">
      <c r="B858" s="5" t="s">
        <v>19</v>
      </c>
      <c r="C858" s="1"/>
      <c r="D858" s="1"/>
      <c r="E858" s="1"/>
      <c r="F858" s="5">
        <v>3.95</v>
      </c>
    </row>
    <row r="859" spans="2:6" x14ac:dyDescent="0.25">
      <c r="B859" s="10" t="s">
        <v>20</v>
      </c>
      <c r="C859" s="1"/>
      <c r="D859" s="1"/>
      <c r="E859" s="1"/>
      <c r="F859" s="4">
        <f>SUM(F846:F858)</f>
        <v>16.989999999999998</v>
      </c>
    </row>
    <row r="860" spans="2:6" x14ac:dyDescent="0.25">
      <c r="B860" s="3" t="s">
        <v>21</v>
      </c>
      <c r="C860" s="1"/>
      <c r="D860" s="1"/>
      <c r="E860" s="1"/>
      <c r="F860" s="1"/>
    </row>
    <row r="861" spans="2:6" x14ac:dyDescent="0.25">
      <c r="B861" s="1" t="s">
        <v>317</v>
      </c>
      <c r="C861" s="1" t="s">
        <v>256</v>
      </c>
      <c r="D861" s="1">
        <v>1</v>
      </c>
      <c r="E861" s="1">
        <v>60</v>
      </c>
      <c r="F861" s="24">
        <f>E861/2564.6*1000/12</f>
        <v>1.9496217733759653</v>
      </c>
    </row>
    <row r="862" spans="2:6" x14ac:dyDescent="0.25">
      <c r="B862" s="1" t="s">
        <v>407</v>
      </c>
      <c r="C862" s="1" t="s">
        <v>265</v>
      </c>
      <c r="D862" s="1">
        <v>3</v>
      </c>
      <c r="E862" s="1">
        <v>10.5</v>
      </c>
      <c r="F862" s="24">
        <f t="shared" ref="F862:F873" si="20">E862/2564.6*1000/12</f>
        <v>0.34118381034079398</v>
      </c>
    </row>
    <row r="863" spans="2:6" x14ac:dyDescent="0.25">
      <c r="B863" s="1" t="s">
        <v>326</v>
      </c>
      <c r="C863" s="1" t="s">
        <v>26</v>
      </c>
      <c r="D863" s="1">
        <v>90</v>
      </c>
      <c r="E863" s="1">
        <v>135</v>
      </c>
      <c r="F863" s="24">
        <f t="shared" si="20"/>
        <v>4.3866489900959218</v>
      </c>
    </row>
    <row r="864" spans="2:6" x14ac:dyDescent="0.25">
      <c r="B864" s="1"/>
      <c r="C864" s="1"/>
      <c r="D864" s="1"/>
      <c r="E864" s="1"/>
      <c r="F864" s="24"/>
    </row>
    <row r="865" spans="2:6" x14ac:dyDescent="0.25">
      <c r="B865" s="1"/>
      <c r="C865" s="1"/>
      <c r="D865" s="1"/>
      <c r="E865" s="1"/>
      <c r="F865" s="24"/>
    </row>
    <row r="866" spans="2:6" x14ac:dyDescent="0.25">
      <c r="B866" s="1" t="s">
        <v>275</v>
      </c>
      <c r="C866" s="1" t="s">
        <v>26</v>
      </c>
      <c r="D866" s="1">
        <v>125</v>
      </c>
      <c r="E866" s="1">
        <v>187.5</v>
      </c>
      <c r="F866" s="24">
        <f t="shared" si="20"/>
        <v>6.0925680417998906</v>
      </c>
    </row>
    <row r="867" spans="2:6" x14ac:dyDescent="0.25">
      <c r="B867" s="1" t="s">
        <v>319</v>
      </c>
      <c r="C867" s="1" t="s">
        <v>261</v>
      </c>
      <c r="D867" s="1">
        <v>20</v>
      </c>
      <c r="E867" s="1">
        <v>26</v>
      </c>
      <c r="F867" s="24">
        <f t="shared" si="20"/>
        <v>0.84483610179625146</v>
      </c>
    </row>
    <row r="868" spans="2:6" x14ac:dyDescent="0.25">
      <c r="B868" s="1" t="s">
        <v>320</v>
      </c>
      <c r="C868" s="1" t="s">
        <v>261</v>
      </c>
      <c r="D868" s="1">
        <v>50</v>
      </c>
      <c r="E868" s="1">
        <v>95</v>
      </c>
      <c r="F868" s="24">
        <f t="shared" si="20"/>
        <v>3.0869011411786116</v>
      </c>
    </row>
    <row r="869" spans="2:6" x14ac:dyDescent="0.25">
      <c r="B869" s="1" t="s">
        <v>325</v>
      </c>
      <c r="C869" s="1" t="s">
        <v>261</v>
      </c>
      <c r="D869" s="1">
        <v>32</v>
      </c>
      <c r="E869" s="1">
        <v>60.8</v>
      </c>
      <c r="F869" s="24">
        <f t="shared" si="20"/>
        <v>1.9756167303543111</v>
      </c>
    </row>
    <row r="870" spans="2:6" x14ac:dyDescent="0.25">
      <c r="B870" s="1" t="s">
        <v>321</v>
      </c>
      <c r="C870" s="1" t="s">
        <v>256</v>
      </c>
      <c r="D870" s="1">
        <v>3</v>
      </c>
      <c r="E870" s="1">
        <v>450</v>
      </c>
      <c r="F870" s="24">
        <f t="shared" si="20"/>
        <v>14.622163300319739</v>
      </c>
    </row>
    <row r="871" spans="2:6" x14ac:dyDescent="0.25">
      <c r="B871" s="1" t="s">
        <v>405</v>
      </c>
      <c r="C871" s="1" t="s">
        <v>261</v>
      </c>
      <c r="D871" s="1">
        <v>250</v>
      </c>
      <c r="E871" s="1">
        <v>300</v>
      </c>
      <c r="F871" s="24">
        <f t="shared" si="20"/>
        <v>9.748108866879825</v>
      </c>
    </row>
    <row r="872" spans="2:6" x14ac:dyDescent="0.25">
      <c r="B872" s="1" t="s">
        <v>375</v>
      </c>
      <c r="C872" s="1" t="s">
        <v>261</v>
      </c>
      <c r="D872" s="1">
        <v>950</v>
      </c>
      <c r="E872" s="1">
        <v>950</v>
      </c>
      <c r="F872" s="24">
        <f t="shared" si="20"/>
        <v>30.869011411786119</v>
      </c>
    </row>
    <row r="873" spans="2:6" x14ac:dyDescent="0.25">
      <c r="B873" s="1"/>
      <c r="C873" s="1"/>
      <c r="D873" s="1"/>
      <c r="E873" s="1"/>
      <c r="F873" s="24"/>
    </row>
    <row r="874" spans="2:6" x14ac:dyDescent="0.25">
      <c r="B874" s="10" t="s">
        <v>20</v>
      </c>
      <c r="C874" s="1"/>
      <c r="D874" s="1"/>
      <c r="E874" s="4">
        <f>SUM(E861:E873)</f>
        <v>2274.8000000000002</v>
      </c>
      <c r="F874" s="22">
        <f>SUM(F861:F873)</f>
        <v>73.916660167927432</v>
      </c>
    </row>
    <row r="875" spans="2:6" x14ac:dyDescent="0.25">
      <c r="B875" s="4" t="s">
        <v>22</v>
      </c>
      <c r="C875" s="6"/>
      <c r="D875" s="6"/>
      <c r="E875" s="6"/>
      <c r="F875" s="23">
        <f>F859+F874</f>
        <v>90.906660167927427</v>
      </c>
    </row>
    <row r="876" spans="2:6" x14ac:dyDescent="0.25">
      <c r="B876" s="7"/>
      <c r="C876" s="7"/>
      <c r="D876" s="7"/>
      <c r="E876" s="7"/>
      <c r="F876" s="7"/>
    </row>
    <row r="877" spans="2:6" x14ac:dyDescent="0.25">
      <c r="B877" s="13"/>
      <c r="C877" s="13"/>
      <c r="D877" s="13"/>
      <c r="E877" s="13"/>
      <c r="F877" s="13"/>
    </row>
    <row r="878" spans="2:6" x14ac:dyDescent="0.25">
      <c r="B878" s="13"/>
      <c r="C878" s="13"/>
      <c r="D878" s="13"/>
      <c r="E878" s="13"/>
      <c r="F878" s="13"/>
    </row>
    <row r="879" spans="2:6" ht="15" customHeight="1" x14ac:dyDescent="0.25">
      <c r="B879" s="39" t="s">
        <v>23</v>
      </c>
      <c r="C879" s="39"/>
      <c r="D879" s="39"/>
      <c r="E879" s="39" t="s">
        <v>24</v>
      </c>
      <c r="F879" s="39"/>
    </row>
    <row r="881" spans="2:6" ht="34.9" customHeight="1" x14ac:dyDescent="0.25">
      <c r="B881" s="37" t="s">
        <v>97</v>
      </c>
      <c r="C881" s="37"/>
      <c r="D881" s="37"/>
      <c r="E881" s="37"/>
      <c r="F881" s="37"/>
    </row>
    <row r="882" spans="2:6" ht="31.9" customHeight="1" x14ac:dyDescent="0.25">
      <c r="B882" s="37" t="s">
        <v>1</v>
      </c>
      <c r="C882" s="37"/>
      <c r="D882" s="37"/>
      <c r="E882" s="37"/>
      <c r="F882" s="37"/>
    </row>
    <row r="883" spans="2:6" x14ac:dyDescent="0.25">
      <c r="B883" s="14" t="s">
        <v>0</v>
      </c>
      <c r="C883" s="14"/>
      <c r="D883" s="14"/>
      <c r="E883" s="14"/>
      <c r="F883" s="14"/>
    </row>
    <row r="884" spans="2:6" ht="15" customHeight="1" x14ac:dyDescent="0.25">
      <c r="B884" s="12"/>
      <c r="C884" s="38" t="s">
        <v>25</v>
      </c>
      <c r="D884" s="38"/>
      <c r="E884" s="12">
        <v>3541</v>
      </c>
      <c r="F884" s="12" t="s">
        <v>26</v>
      </c>
    </row>
    <row r="886" spans="2:6" ht="60" x14ac:dyDescent="0.25">
      <c r="B886" s="1" t="s">
        <v>2</v>
      </c>
      <c r="C886" s="1" t="s">
        <v>4</v>
      </c>
      <c r="D886" s="1" t="s">
        <v>3</v>
      </c>
      <c r="E886" s="1" t="s">
        <v>447</v>
      </c>
      <c r="F886" s="1" t="s">
        <v>5</v>
      </c>
    </row>
    <row r="887" spans="2:6" x14ac:dyDescent="0.25">
      <c r="B887" s="1"/>
      <c r="C887" s="1"/>
      <c r="D887" s="1"/>
      <c r="E887" s="1"/>
      <c r="F887" s="1"/>
    </row>
    <row r="888" spans="2:6" x14ac:dyDescent="0.25">
      <c r="B888" s="3" t="s">
        <v>6</v>
      </c>
      <c r="C888" s="1"/>
      <c r="D888" s="1"/>
      <c r="E888" s="1"/>
      <c r="F888" s="1"/>
    </row>
    <row r="889" spans="2:6" x14ac:dyDescent="0.25">
      <c r="B889" s="5" t="s">
        <v>7</v>
      </c>
      <c r="C889" s="1"/>
      <c r="D889" s="1"/>
      <c r="E889" s="1"/>
      <c r="F889" s="5">
        <v>2.0099999999999998</v>
      </c>
    </row>
    <row r="890" spans="2:6" x14ac:dyDescent="0.25">
      <c r="B890" s="5" t="s">
        <v>8</v>
      </c>
      <c r="C890" s="1"/>
      <c r="D890" s="1"/>
      <c r="E890" s="1"/>
      <c r="F890" s="5">
        <v>5.34</v>
      </c>
    </row>
    <row r="891" spans="2:6" x14ac:dyDescent="0.25">
      <c r="B891" s="15" t="s">
        <v>30</v>
      </c>
      <c r="C891" s="1"/>
      <c r="D891" s="1"/>
      <c r="E891" s="1"/>
      <c r="F891" s="5">
        <v>0.06</v>
      </c>
    </row>
    <row r="892" spans="2:6" ht="24.75" x14ac:dyDescent="0.25">
      <c r="B892" s="5" t="s">
        <v>11</v>
      </c>
      <c r="C892" s="1"/>
      <c r="D892" s="1"/>
      <c r="E892" s="1"/>
      <c r="F892" s="5">
        <v>0.55000000000000004</v>
      </c>
    </row>
    <row r="893" spans="2:6" ht="24.75" x14ac:dyDescent="0.25">
      <c r="B893" s="5" t="s">
        <v>12</v>
      </c>
      <c r="C893" s="1"/>
      <c r="D893" s="1"/>
      <c r="E893" s="1"/>
      <c r="F893" s="5">
        <v>0.53</v>
      </c>
    </row>
    <row r="894" spans="2:6" ht="24.75" x14ac:dyDescent="0.25">
      <c r="B894" s="5" t="s">
        <v>13</v>
      </c>
      <c r="C894" s="1"/>
      <c r="D894" s="1"/>
      <c r="E894" s="1"/>
      <c r="F894" s="5">
        <v>0.19</v>
      </c>
    </row>
    <row r="895" spans="2:6" ht="24.75" x14ac:dyDescent="0.25">
      <c r="B895" s="5" t="s">
        <v>14</v>
      </c>
      <c r="C895" s="1"/>
      <c r="D895" s="1"/>
      <c r="E895" s="1"/>
      <c r="F895" s="5">
        <v>1.25</v>
      </c>
    </row>
    <row r="896" spans="2:6" ht="24.75" x14ac:dyDescent="0.25">
      <c r="B896" s="5" t="s">
        <v>9</v>
      </c>
      <c r="C896" s="1"/>
      <c r="D896" s="1"/>
      <c r="E896" s="1"/>
      <c r="F896" s="5">
        <v>0.26</v>
      </c>
    </row>
    <row r="897" spans="2:6" ht="24.75" x14ac:dyDescent="0.25">
      <c r="B897" s="5" t="s">
        <v>15</v>
      </c>
      <c r="C897" s="1"/>
      <c r="D897" s="1"/>
      <c r="E897" s="1"/>
      <c r="F897" s="5">
        <v>0.27</v>
      </c>
    </row>
    <row r="898" spans="2:6" ht="24.75" x14ac:dyDescent="0.25">
      <c r="B898" s="5" t="s">
        <v>16</v>
      </c>
      <c r="C898" s="1"/>
      <c r="D898" s="1"/>
      <c r="E898" s="1"/>
      <c r="F898" s="5">
        <v>0.28999999999999998</v>
      </c>
    </row>
    <row r="899" spans="2:6" x14ac:dyDescent="0.25">
      <c r="B899" s="5" t="s">
        <v>17</v>
      </c>
      <c r="C899" s="1"/>
      <c r="D899" s="1"/>
      <c r="E899" s="1"/>
      <c r="F899" s="5">
        <v>0.32</v>
      </c>
    </row>
    <row r="900" spans="2:6" x14ac:dyDescent="0.25">
      <c r="B900" s="5" t="s">
        <v>18</v>
      </c>
      <c r="C900" s="1"/>
      <c r="D900" s="1"/>
      <c r="E900" s="1"/>
      <c r="F900" s="5">
        <v>1.97</v>
      </c>
    </row>
    <row r="901" spans="2:6" x14ac:dyDescent="0.25">
      <c r="B901" s="5" t="s">
        <v>19</v>
      </c>
      <c r="C901" s="1"/>
      <c r="D901" s="1"/>
      <c r="E901" s="1"/>
      <c r="F901" s="5">
        <v>3.95</v>
      </c>
    </row>
    <row r="902" spans="2:6" x14ac:dyDescent="0.25">
      <c r="B902" s="10" t="s">
        <v>20</v>
      </c>
      <c r="C902" s="1"/>
      <c r="D902" s="1"/>
      <c r="E902" s="1"/>
      <c r="F902" s="4">
        <f>SUM(F889:F901)</f>
        <v>16.989999999999998</v>
      </c>
    </row>
    <row r="903" spans="2:6" x14ac:dyDescent="0.25">
      <c r="B903" s="3" t="s">
        <v>21</v>
      </c>
      <c r="C903" s="1"/>
      <c r="D903" s="1"/>
      <c r="E903" s="1"/>
      <c r="F903" s="1"/>
    </row>
    <row r="904" spans="2:6" x14ac:dyDescent="0.25">
      <c r="B904" s="1"/>
      <c r="C904" s="1"/>
      <c r="D904" s="1"/>
      <c r="E904" s="1"/>
      <c r="F904" s="24"/>
    </row>
    <row r="905" spans="2:6" x14ac:dyDescent="0.25">
      <c r="B905" s="1" t="s">
        <v>373</v>
      </c>
      <c r="C905" s="1" t="s">
        <v>368</v>
      </c>
      <c r="D905" s="1">
        <v>0.4</v>
      </c>
      <c r="E905" s="1">
        <v>20</v>
      </c>
      <c r="F905" s="24">
        <f t="shared" ref="F905:F916" si="21">E905/3541*1000/12</f>
        <v>0.47067683328626569</v>
      </c>
    </row>
    <row r="906" spans="2:6" x14ac:dyDescent="0.25">
      <c r="B906" s="1"/>
      <c r="C906" s="1"/>
      <c r="D906" s="1"/>
      <c r="E906" s="1"/>
      <c r="F906" s="24"/>
    </row>
    <row r="907" spans="2:6" x14ac:dyDescent="0.25">
      <c r="B907" s="1"/>
      <c r="C907" s="1"/>
      <c r="D907" s="1"/>
      <c r="E907" s="1"/>
      <c r="F907" s="24"/>
    </row>
    <row r="908" spans="2:6" x14ac:dyDescent="0.25">
      <c r="B908" s="1" t="s">
        <v>322</v>
      </c>
      <c r="C908" s="1" t="s">
        <v>261</v>
      </c>
      <c r="D908" s="1">
        <v>300</v>
      </c>
      <c r="E908" s="1">
        <v>360</v>
      </c>
      <c r="F908" s="24">
        <f t="shared" si="21"/>
        <v>8.4721829991527819</v>
      </c>
    </row>
    <row r="909" spans="2:6" x14ac:dyDescent="0.25">
      <c r="B909" s="1" t="s">
        <v>323</v>
      </c>
      <c r="C909" s="1" t="s">
        <v>261</v>
      </c>
      <c r="D909" s="1">
        <v>1100</v>
      </c>
      <c r="E909" s="1">
        <v>1100</v>
      </c>
      <c r="F909" s="24">
        <f t="shared" si="21"/>
        <v>25.887225830744612</v>
      </c>
    </row>
    <row r="910" spans="2:6" x14ac:dyDescent="0.25">
      <c r="B910" s="1"/>
      <c r="C910" s="1"/>
      <c r="D910" s="1"/>
      <c r="E910" s="1"/>
      <c r="F910" s="24">
        <f t="shared" si="21"/>
        <v>0</v>
      </c>
    </row>
    <row r="911" spans="2:6" x14ac:dyDescent="0.25">
      <c r="B911" s="1"/>
      <c r="C911" s="1"/>
      <c r="D911" s="1"/>
      <c r="E911" s="1"/>
      <c r="F911" s="24">
        <f t="shared" si="21"/>
        <v>0</v>
      </c>
    </row>
    <row r="912" spans="2:6" x14ac:dyDescent="0.25">
      <c r="B912" s="1"/>
      <c r="C912" s="1"/>
      <c r="D912" s="1"/>
      <c r="E912" s="1"/>
      <c r="F912" s="24">
        <f t="shared" si="21"/>
        <v>0</v>
      </c>
    </row>
    <row r="913" spans="2:6" x14ac:dyDescent="0.25">
      <c r="B913" s="1"/>
      <c r="C913" s="1"/>
      <c r="D913" s="1"/>
      <c r="E913" s="1"/>
      <c r="F913" s="24">
        <f t="shared" si="21"/>
        <v>0</v>
      </c>
    </row>
    <row r="914" spans="2:6" x14ac:dyDescent="0.25">
      <c r="B914" s="1"/>
      <c r="C914" s="1"/>
      <c r="D914" s="1"/>
      <c r="E914" s="1"/>
      <c r="F914" s="24">
        <f t="shared" si="21"/>
        <v>0</v>
      </c>
    </row>
    <row r="915" spans="2:6" x14ac:dyDescent="0.25">
      <c r="B915" s="1"/>
      <c r="C915" s="1"/>
      <c r="D915" s="1"/>
      <c r="E915" s="1"/>
      <c r="F915" s="24">
        <f t="shared" si="21"/>
        <v>0</v>
      </c>
    </row>
    <row r="916" spans="2:6" x14ac:dyDescent="0.25">
      <c r="B916" s="1"/>
      <c r="C916" s="1"/>
      <c r="D916" s="1"/>
      <c r="E916" s="1"/>
      <c r="F916" s="24">
        <f t="shared" si="21"/>
        <v>0</v>
      </c>
    </row>
    <row r="917" spans="2:6" x14ac:dyDescent="0.25">
      <c r="B917" s="10" t="s">
        <v>20</v>
      </c>
      <c r="C917" s="1"/>
      <c r="D917" s="1"/>
      <c r="E917" s="4">
        <f>SUM(E904:E916)</f>
        <v>1480</v>
      </c>
      <c r="F917" s="22">
        <f>SUM(F904:F916)</f>
        <v>34.83008566318366</v>
      </c>
    </row>
    <row r="918" spans="2:6" x14ac:dyDescent="0.25">
      <c r="B918" s="4" t="s">
        <v>22</v>
      </c>
      <c r="C918" s="6"/>
      <c r="D918" s="6"/>
      <c r="E918" s="6"/>
      <c r="F918" s="23">
        <f>F902+F917</f>
        <v>51.820085663183661</v>
      </c>
    </row>
    <row r="919" spans="2:6" x14ac:dyDescent="0.25">
      <c r="B919" s="7"/>
      <c r="C919" s="7"/>
      <c r="D919" s="7"/>
      <c r="E919" s="7"/>
      <c r="F919" s="7"/>
    </row>
    <row r="920" spans="2:6" x14ac:dyDescent="0.25">
      <c r="B920" s="13"/>
      <c r="C920" s="13"/>
      <c r="D920" s="13"/>
      <c r="E920" s="13"/>
      <c r="F920" s="13"/>
    </row>
    <row r="921" spans="2:6" x14ac:dyDescent="0.25">
      <c r="B921" s="13"/>
      <c r="C921" s="13"/>
      <c r="D921" s="13"/>
      <c r="E921" s="13"/>
      <c r="F921" s="13"/>
    </row>
    <row r="922" spans="2:6" ht="15" customHeight="1" x14ac:dyDescent="0.25">
      <c r="B922" s="39" t="s">
        <v>23</v>
      </c>
      <c r="C922" s="39"/>
      <c r="D922" s="39"/>
      <c r="E922" s="39" t="s">
        <v>24</v>
      </c>
      <c r="F922" s="39"/>
    </row>
    <row r="924" spans="2:6" ht="35.450000000000003" customHeight="1" x14ac:dyDescent="0.25">
      <c r="B924" s="37" t="s">
        <v>96</v>
      </c>
      <c r="C924" s="37"/>
      <c r="D924" s="37"/>
      <c r="E924" s="37"/>
      <c r="F924" s="37"/>
    </row>
    <row r="925" spans="2:6" ht="37.15" customHeight="1" x14ac:dyDescent="0.25">
      <c r="B925" s="37" t="s">
        <v>1</v>
      </c>
      <c r="C925" s="37"/>
      <c r="D925" s="37"/>
      <c r="E925" s="37"/>
      <c r="F925" s="37"/>
    </row>
    <row r="926" spans="2:6" x14ac:dyDescent="0.25">
      <c r="B926" s="14" t="s">
        <v>0</v>
      </c>
      <c r="C926" s="14"/>
      <c r="D926" s="14"/>
      <c r="E926" s="14"/>
      <c r="F926" s="14"/>
    </row>
    <row r="927" spans="2:6" ht="15" customHeight="1" x14ac:dyDescent="0.25">
      <c r="B927" s="12"/>
      <c r="C927" s="38" t="s">
        <v>25</v>
      </c>
      <c r="D927" s="38"/>
      <c r="E927" s="12">
        <v>2530</v>
      </c>
      <c r="F927" s="12" t="s">
        <v>26</v>
      </c>
    </row>
    <row r="929" spans="2:6" ht="60" x14ac:dyDescent="0.25">
      <c r="B929" s="1" t="s">
        <v>2</v>
      </c>
      <c r="C929" s="1" t="s">
        <v>4</v>
      </c>
      <c r="D929" s="1" t="s">
        <v>3</v>
      </c>
      <c r="E929" s="1" t="s">
        <v>447</v>
      </c>
      <c r="F929" s="1" t="s">
        <v>5</v>
      </c>
    </row>
    <row r="930" spans="2:6" x14ac:dyDescent="0.25">
      <c r="B930" s="1"/>
      <c r="C930" s="1"/>
      <c r="D930" s="1"/>
      <c r="E930" s="1"/>
      <c r="F930" s="1"/>
    </row>
    <row r="931" spans="2:6" x14ac:dyDescent="0.25">
      <c r="B931" s="3" t="s">
        <v>6</v>
      </c>
      <c r="C931" s="1"/>
      <c r="D931" s="1"/>
      <c r="E931" s="1"/>
      <c r="F931" s="1"/>
    </row>
    <row r="932" spans="2:6" x14ac:dyDescent="0.25">
      <c r="B932" s="5" t="s">
        <v>7</v>
      </c>
      <c r="C932" s="1"/>
      <c r="D932" s="1"/>
      <c r="E932" s="1"/>
      <c r="F932" s="5">
        <v>2.0099999999999998</v>
      </c>
    </row>
    <row r="933" spans="2:6" x14ac:dyDescent="0.25">
      <c r="B933" s="5" t="s">
        <v>8</v>
      </c>
      <c r="C933" s="1"/>
      <c r="D933" s="1"/>
      <c r="E933" s="1"/>
      <c r="F933" s="5">
        <v>5.34</v>
      </c>
    </row>
    <row r="934" spans="2:6" x14ac:dyDescent="0.25">
      <c r="B934" s="15" t="s">
        <v>30</v>
      </c>
      <c r="C934" s="1"/>
      <c r="D934" s="1"/>
      <c r="E934" s="1"/>
      <c r="F934" s="5">
        <v>0.06</v>
      </c>
    </row>
    <row r="935" spans="2:6" ht="24.75" x14ac:dyDescent="0.25">
      <c r="B935" s="5" t="s">
        <v>11</v>
      </c>
      <c r="C935" s="1"/>
      <c r="D935" s="1"/>
      <c r="E935" s="1"/>
      <c r="F935" s="5">
        <v>0.55000000000000004</v>
      </c>
    </row>
    <row r="936" spans="2:6" ht="24.75" x14ac:dyDescent="0.25">
      <c r="B936" s="5" t="s">
        <v>12</v>
      </c>
      <c r="C936" s="1"/>
      <c r="D936" s="1"/>
      <c r="E936" s="1"/>
      <c r="F936" s="5">
        <v>0.53</v>
      </c>
    </row>
    <row r="937" spans="2:6" ht="24.75" x14ac:dyDescent="0.25">
      <c r="B937" s="5" t="s">
        <v>13</v>
      </c>
      <c r="C937" s="1"/>
      <c r="D937" s="1"/>
      <c r="E937" s="1"/>
      <c r="F937" s="5">
        <v>0.19</v>
      </c>
    </row>
    <row r="938" spans="2:6" ht="24.75" x14ac:dyDescent="0.25">
      <c r="B938" s="5" t="s">
        <v>14</v>
      </c>
      <c r="C938" s="1"/>
      <c r="D938" s="1"/>
      <c r="E938" s="1"/>
      <c r="F938" s="5">
        <v>1.25</v>
      </c>
    </row>
    <row r="939" spans="2:6" ht="24.75" x14ac:dyDescent="0.25">
      <c r="B939" s="5" t="s">
        <v>9</v>
      </c>
      <c r="C939" s="1"/>
      <c r="D939" s="1"/>
      <c r="E939" s="1"/>
      <c r="F939" s="5">
        <v>0.26</v>
      </c>
    </row>
    <row r="940" spans="2:6" ht="24.75" x14ac:dyDescent="0.25">
      <c r="B940" s="5" t="s">
        <v>15</v>
      </c>
      <c r="C940" s="1"/>
      <c r="D940" s="1"/>
      <c r="E940" s="1"/>
      <c r="F940" s="5">
        <v>0.27</v>
      </c>
    </row>
    <row r="941" spans="2:6" ht="24.75" x14ac:dyDescent="0.25">
      <c r="B941" s="5" t="s">
        <v>16</v>
      </c>
      <c r="C941" s="1"/>
      <c r="D941" s="1"/>
      <c r="E941" s="1"/>
      <c r="F941" s="5">
        <v>0.28999999999999998</v>
      </c>
    </row>
    <row r="942" spans="2:6" x14ac:dyDescent="0.25">
      <c r="B942" s="5" t="s">
        <v>17</v>
      </c>
      <c r="C942" s="1"/>
      <c r="D942" s="1"/>
      <c r="E942" s="1"/>
      <c r="F942" s="5">
        <v>0.32</v>
      </c>
    </row>
    <row r="943" spans="2:6" x14ac:dyDescent="0.25">
      <c r="B943" s="5" t="s">
        <v>18</v>
      </c>
      <c r="C943" s="1"/>
      <c r="D943" s="1"/>
      <c r="E943" s="1"/>
      <c r="F943" s="5">
        <v>1.97</v>
      </c>
    </row>
    <row r="944" spans="2:6" x14ac:dyDescent="0.25">
      <c r="B944" s="5" t="s">
        <v>19</v>
      </c>
      <c r="C944" s="1"/>
      <c r="D944" s="1"/>
      <c r="E944" s="1"/>
      <c r="F944" s="5">
        <v>3.95</v>
      </c>
    </row>
    <row r="945" spans="2:6" x14ac:dyDescent="0.25">
      <c r="B945" s="10" t="s">
        <v>20</v>
      </c>
      <c r="C945" s="1"/>
      <c r="D945" s="1"/>
      <c r="E945" s="1"/>
      <c r="F945" s="4">
        <f>SUM(F932:F944)</f>
        <v>16.989999999999998</v>
      </c>
    </row>
    <row r="946" spans="2:6" x14ac:dyDescent="0.25">
      <c r="B946" s="3" t="s">
        <v>21</v>
      </c>
      <c r="C946" s="1"/>
      <c r="D946" s="1"/>
      <c r="E946" s="1"/>
      <c r="F946" s="1"/>
    </row>
    <row r="947" spans="2:6" x14ac:dyDescent="0.25">
      <c r="B947" s="1" t="s">
        <v>381</v>
      </c>
      <c r="C947" s="1" t="s">
        <v>265</v>
      </c>
      <c r="D947" s="1">
        <v>1</v>
      </c>
      <c r="E947" s="1">
        <v>3.5</v>
      </c>
      <c r="F947" s="24">
        <f>E947/2530*1000/12</f>
        <v>0.1152832674571805</v>
      </c>
    </row>
    <row r="948" spans="2:6" x14ac:dyDescent="0.25">
      <c r="B948" s="1" t="s">
        <v>327</v>
      </c>
      <c r="C948" s="1" t="s">
        <v>261</v>
      </c>
      <c r="D948" s="1">
        <v>233</v>
      </c>
      <c r="E948" s="1">
        <v>198</v>
      </c>
      <c r="F948" s="24">
        <f t="shared" ref="F948:F959" si="22">E948/2530*1000/12</f>
        <v>6.5217391304347823</v>
      </c>
    </row>
    <row r="949" spans="2:6" x14ac:dyDescent="0.25">
      <c r="B949" s="1"/>
      <c r="C949" s="1"/>
      <c r="D949" s="1"/>
      <c r="E949" s="1"/>
      <c r="F949" s="24"/>
    </row>
    <row r="950" spans="2:6" x14ac:dyDescent="0.25">
      <c r="B950" s="1" t="s">
        <v>275</v>
      </c>
      <c r="C950" s="1" t="s">
        <v>26</v>
      </c>
      <c r="D950" s="1">
        <v>123</v>
      </c>
      <c r="E950" s="1">
        <v>184.5</v>
      </c>
      <c r="F950" s="24">
        <f t="shared" si="22"/>
        <v>6.0770750988142295</v>
      </c>
    </row>
    <row r="951" spans="2:6" x14ac:dyDescent="0.25">
      <c r="B951" s="1" t="s">
        <v>390</v>
      </c>
      <c r="C951" s="1" t="s">
        <v>261</v>
      </c>
      <c r="D951" s="1">
        <v>66</v>
      </c>
      <c r="E951" s="1">
        <v>85.8</v>
      </c>
      <c r="F951" s="24">
        <f t="shared" si="22"/>
        <v>2.8260869565217388</v>
      </c>
    </row>
    <row r="952" spans="2:6" x14ac:dyDescent="0.25">
      <c r="B952" s="1" t="s">
        <v>319</v>
      </c>
      <c r="C952" s="1" t="s">
        <v>261</v>
      </c>
      <c r="D952" s="1">
        <v>70</v>
      </c>
      <c r="E952" s="1">
        <v>91</v>
      </c>
      <c r="F952" s="24">
        <f t="shared" si="22"/>
        <v>2.9973649538866933</v>
      </c>
    </row>
    <row r="953" spans="2:6" x14ac:dyDescent="0.25">
      <c r="B953" s="1" t="s">
        <v>320</v>
      </c>
      <c r="C953" s="1" t="s">
        <v>261</v>
      </c>
      <c r="D953" s="1">
        <v>50</v>
      </c>
      <c r="E953" s="1">
        <v>95</v>
      </c>
      <c r="F953" s="24">
        <f t="shared" si="22"/>
        <v>3.1291172595520425</v>
      </c>
    </row>
    <row r="954" spans="2:6" x14ac:dyDescent="0.25">
      <c r="B954" s="1" t="s">
        <v>325</v>
      </c>
      <c r="C954" s="1" t="s">
        <v>261</v>
      </c>
      <c r="D954" s="1">
        <v>123</v>
      </c>
      <c r="E954" s="1">
        <v>233.7</v>
      </c>
      <c r="F954" s="24">
        <f t="shared" si="22"/>
        <v>7.6976284584980235</v>
      </c>
    </row>
    <row r="955" spans="2:6" x14ac:dyDescent="0.25">
      <c r="B955" s="1" t="s">
        <v>321</v>
      </c>
      <c r="C955" s="1" t="s">
        <v>256</v>
      </c>
      <c r="D955" s="1">
        <v>3</v>
      </c>
      <c r="E955" s="1">
        <v>450</v>
      </c>
      <c r="F955" s="24">
        <f t="shared" si="22"/>
        <v>14.822134387351779</v>
      </c>
    </row>
    <row r="956" spans="2:6" x14ac:dyDescent="0.25">
      <c r="B956" s="1" t="s">
        <v>322</v>
      </c>
      <c r="C956" s="1" t="s">
        <v>261</v>
      </c>
      <c r="D956" s="1">
        <v>250</v>
      </c>
      <c r="E956" s="1">
        <v>300</v>
      </c>
      <c r="F956" s="24">
        <f t="shared" si="22"/>
        <v>9.8814229249011856</v>
      </c>
    </row>
    <row r="957" spans="2:6" x14ac:dyDescent="0.25">
      <c r="B957" s="1" t="s">
        <v>323</v>
      </c>
      <c r="C957" s="1" t="s">
        <v>261</v>
      </c>
      <c r="D957" s="1">
        <v>950</v>
      </c>
      <c r="E957" s="1">
        <v>950</v>
      </c>
      <c r="F957" s="24">
        <f t="shared" si="22"/>
        <v>31.291172595520422</v>
      </c>
    </row>
    <row r="958" spans="2:6" x14ac:dyDescent="0.25">
      <c r="B958" s="1"/>
      <c r="C958" s="1"/>
      <c r="D958" s="1"/>
      <c r="E958" s="1"/>
      <c r="F958" s="24">
        <f t="shared" si="22"/>
        <v>0</v>
      </c>
    </row>
    <row r="959" spans="2:6" x14ac:dyDescent="0.25">
      <c r="B959" s="1"/>
      <c r="C959" s="1"/>
      <c r="D959" s="1"/>
      <c r="E959" s="1"/>
      <c r="F959" s="24">
        <f t="shared" si="22"/>
        <v>0</v>
      </c>
    </row>
    <row r="960" spans="2:6" x14ac:dyDescent="0.25">
      <c r="B960" s="10" t="s">
        <v>20</v>
      </c>
      <c r="C960" s="1"/>
      <c r="D960" s="1"/>
      <c r="E960" s="4">
        <f>SUM(E947:E959)</f>
        <v>2591.5</v>
      </c>
      <c r="F960" s="22">
        <f>SUM(F947:F959)</f>
        <v>85.359025032938078</v>
      </c>
    </row>
    <row r="961" spans="2:6" x14ac:dyDescent="0.25">
      <c r="B961" s="4" t="s">
        <v>22</v>
      </c>
      <c r="C961" s="6"/>
      <c r="D961" s="6"/>
      <c r="E961" s="6"/>
      <c r="F961" s="23">
        <f>F945+F960</f>
        <v>102.34902503293807</v>
      </c>
    </row>
    <row r="962" spans="2:6" x14ac:dyDescent="0.25">
      <c r="B962" s="7"/>
      <c r="C962" s="7"/>
      <c r="D962" s="7"/>
      <c r="E962" s="7"/>
      <c r="F962" s="7"/>
    </row>
    <row r="963" spans="2:6" x14ac:dyDescent="0.25">
      <c r="B963" s="13"/>
      <c r="C963" s="13"/>
      <c r="D963" s="13"/>
      <c r="E963" s="13"/>
      <c r="F963" s="13"/>
    </row>
    <row r="964" spans="2:6" x14ac:dyDescent="0.25">
      <c r="B964" s="13"/>
      <c r="C964" s="13"/>
      <c r="D964" s="13"/>
      <c r="E964" s="13"/>
      <c r="F964" s="13"/>
    </row>
    <row r="965" spans="2:6" ht="15" customHeight="1" x14ac:dyDescent="0.25">
      <c r="B965" s="39" t="s">
        <v>23</v>
      </c>
      <c r="C965" s="39"/>
      <c r="D965" s="39"/>
      <c r="E965" s="39" t="s">
        <v>24</v>
      </c>
      <c r="F965" s="39"/>
    </row>
    <row r="967" spans="2:6" ht="31.9" customHeight="1" x14ac:dyDescent="0.25">
      <c r="B967" s="37" t="s">
        <v>98</v>
      </c>
      <c r="C967" s="37"/>
      <c r="D967" s="37"/>
      <c r="E967" s="37"/>
      <c r="F967" s="37"/>
    </row>
    <row r="968" spans="2:6" ht="28.15" customHeight="1" x14ac:dyDescent="0.25">
      <c r="B968" s="37" t="s">
        <v>1</v>
      </c>
      <c r="C968" s="37"/>
      <c r="D968" s="37"/>
      <c r="E968" s="37"/>
      <c r="F968" s="37"/>
    </row>
    <row r="969" spans="2:6" x14ac:dyDescent="0.25">
      <c r="B969" s="14" t="s">
        <v>0</v>
      </c>
      <c r="C969" s="14"/>
      <c r="D969" s="14"/>
      <c r="E969" s="14"/>
      <c r="F969" s="14"/>
    </row>
    <row r="970" spans="2:6" ht="15" customHeight="1" x14ac:dyDescent="0.25">
      <c r="B970" s="12"/>
      <c r="C970" s="38" t="s">
        <v>25</v>
      </c>
      <c r="D970" s="38"/>
      <c r="E970" s="12">
        <v>2564</v>
      </c>
      <c r="F970" s="12" t="s">
        <v>26</v>
      </c>
    </row>
    <row r="972" spans="2:6" ht="60" x14ac:dyDescent="0.25">
      <c r="B972" s="1" t="s">
        <v>2</v>
      </c>
      <c r="C972" s="1" t="s">
        <v>4</v>
      </c>
      <c r="D972" s="1" t="s">
        <v>3</v>
      </c>
      <c r="E972" s="1" t="s">
        <v>447</v>
      </c>
      <c r="F972" s="1" t="s">
        <v>5</v>
      </c>
    </row>
    <row r="973" spans="2:6" x14ac:dyDescent="0.25">
      <c r="B973" s="1"/>
      <c r="C973" s="1"/>
      <c r="D973" s="1"/>
      <c r="E973" s="1"/>
      <c r="F973" s="1"/>
    </row>
    <row r="974" spans="2:6" x14ac:dyDescent="0.25">
      <c r="B974" s="3" t="s">
        <v>6</v>
      </c>
      <c r="C974" s="1"/>
      <c r="D974" s="1"/>
      <c r="E974" s="1"/>
      <c r="F974" s="1"/>
    </row>
    <row r="975" spans="2:6" x14ac:dyDescent="0.25">
      <c r="B975" s="5" t="s">
        <v>7</v>
      </c>
      <c r="C975" s="1"/>
      <c r="D975" s="1"/>
      <c r="E975" s="1"/>
      <c r="F975" s="5">
        <v>2.0099999999999998</v>
      </c>
    </row>
    <row r="976" spans="2:6" x14ac:dyDescent="0.25">
      <c r="B976" s="5" t="s">
        <v>8</v>
      </c>
      <c r="C976" s="1"/>
      <c r="D976" s="1"/>
      <c r="E976" s="1"/>
      <c r="F976" s="5">
        <v>5.34</v>
      </c>
    </row>
    <row r="977" spans="2:6" x14ac:dyDescent="0.25">
      <c r="B977" s="15" t="s">
        <v>30</v>
      </c>
      <c r="C977" s="1"/>
      <c r="D977" s="1"/>
      <c r="E977" s="1"/>
      <c r="F977" s="5">
        <v>0.06</v>
      </c>
    </row>
    <row r="978" spans="2:6" ht="24.75" x14ac:dyDescent="0.25">
      <c r="B978" s="5" t="s">
        <v>11</v>
      </c>
      <c r="C978" s="1"/>
      <c r="D978" s="1"/>
      <c r="E978" s="1"/>
      <c r="F978" s="5">
        <v>0.55000000000000004</v>
      </c>
    </row>
    <row r="979" spans="2:6" ht="24.75" x14ac:dyDescent="0.25">
      <c r="B979" s="5" t="s">
        <v>12</v>
      </c>
      <c r="C979" s="1"/>
      <c r="D979" s="1"/>
      <c r="E979" s="1"/>
      <c r="F979" s="5">
        <v>0.53</v>
      </c>
    </row>
    <row r="980" spans="2:6" ht="24.75" x14ac:dyDescent="0.25">
      <c r="B980" s="5" t="s">
        <v>13</v>
      </c>
      <c r="C980" s="1"/>
      <c r="D980" s="1"/>
      <c r="E980" s="1"/>
      <c r="F980" s="5">
        <v>0.19</v>
      </c>
    </row>
    <row r="981" spans="2:6" ht="24.75" x14ac:dyDescent="0.25">
      <c r="B981" s="5" t="s">
        <v>14</v>
      </c>
      <c r="C981" s="1"/>
      <c r="D981" s="1"/>
      <c r="E981" s="1"/>
      <c r="F981" s="5">
        <v>1.25</v>
      </c>
    </row>
    <row r="982" spans="2:6" ht="24.75" x14ac:dyDescent="0.25">
      <c r="B982" s="5" t="s">
        <v>9</v>
      </c>
      <c r="C982" s="1"/>
      <c r="D982" s="1"/>
      <c r="E982" s="1"/>
      <c r="F982" s="5">
        <v>0.26</v>
      </c>
    </row>
    <row r="983" spans="2:6" ht="24.75" x14ac:dyDescent="0.25">
      <c r="B983" s="5" t="s">
        <v>15</v>
      </c>
      <c r="C983" s="1"/>
      <c r="D983" s="1"/>
      <c r="E983" s="1"/>
      <c r="F983" s="5">
        <v>0.27</v>
      </c>
    </row>
    <row r="984" spans="2:6" ht="24.75" x14ac:dyDescent="0.25">
      <c r="B984" s="5" t="s">
        <v>16</v>
      </c>
      <c r="C984" s="1"/>
      <c r="D984" s="1"/>
      <c r="E984" s="1"/>
      <c r="F984" s="5">
        <v>0.28999999999999998</v>
      </c>
    </row>
    <row r="985" spans="2:6" x14ac:dyDescent="0.25">
      <c r="B985" s="5" t="s">
        <v>17</v>
      </c>
      <c r="C985" s="1"/>
      <c r="D985" s="1"/>
      <c r="E985" s="1"/>
      <c r="F985" s="5">
        <v>0.32</v>
      </c>
    </row>
    <row r="986" spans="2:6" x14ac:dyDescent="0.25">
      <c r="B986" s="5" t="s">
        <v>18</v>
      </c>
      <c r="C986" s="1"/>
      <c r="D986" s="1"/>
      <c r="E986" s="1"/>
      <c r="F986" s="5">
        <v>1.97</v>
      </c>
    </row>
    <row r="987" spans="2:6" x14ac:dyDescent="0.25">
      <c r="B987" s="5" t="s">
        <v>19</v>
      </c>
      <c r="C987" s="1"/>
      <c r="D987" s="1"/>
      <c r="E987" s="1"/>
      <c r="F987" s="5">
        <v>3.95</v>
      </c>
    </row>
    <row r="988" spans="2:6" x14ac:dyDescent="0.25">
      <c r="B988" s="10" t="s">
        <v>20</v>
      </c>
      <c r="C988" s="1"/>
      <c r="D988" s="1"/>
      <c r="E988" s="1"/>
      <c r="F988" s="4">
        <f>SUM(F975:F987)</f>
        <v>16.989999999999998</v>
      </c>
    </row>
    <row r="989" spans="2:6" x14ac:dyDescent="0.25">
      <c r="B989" s="3" t="s">
        <v>21</v>
      </c>
      <c r="C989" s="1"/>
      <c r="D989" s="1"/>
      <c r="E989" s="1"/>
      <c r="F989" s="1"/>
    </row>
    <row r="990" spans="2:6" x14ac:dyDescent="0.25">
      <c r="B990" s="1" t="s">
        <v>317</v>
      </c>
      <c r="C990" s="1" t="s">
        <v>256</v>
      </c>
      <c r="D990" s="1">
        <v>1</v>
      </c>
      <c r="E990" s="1">
        <v>60</v>
      </c>
      <c r="F990" s="24">
        <f>E990/2564*1000/12</f>
        <v>1.9500780031201248</v>
      </c>
    </row>
    <row r="991" spans="2:6" x14ac:dyDescent="0.25">
      <c r="B991" s="1" t="s">
        <v>381</v>
      </c>
      <c r="C991" s="1" t="s">
        <v>265</v>
      </c>
      <c r="D991" s="1">
        <v>4</v>
      </c>
      <c r="E991" s="1">
        <v>14</v>
      </c>
      <c r="F991" s="24">
        <f t="shared" ref="F991:F1002" si="23">E991/2564*1000/12</f>
        <v>0.45501820072802918</v>
      </c>
    </row>
    <row r="992" spans="2:6" x14ac:dyDescent="0.25">
      <c r="B992" s="1" t="s">
        <v>327</v>
      </c>
      <c r="C992" s="1" t="s">
        <v>261</v>
      </c>
      <c r="D992" s="1">
        <v>253</v>
      </c>
      <c r="E992" s="1">
        <v>253</v>
      </c>
      <c r="F992" s="24">
        <f t="shared" si="23"/>
        <v>8.2228289131565262</v>
      </c>
    </row>
    <row r="993" spans="2:6" x14ac:dyDescent="0.25">
      <c r="B993" s="1" t="s">
        <v>402</v>
      </c>
      <c r="C993" s="1" t="s">
        <v>265</v>
      </c>
      <c r="D993" s="1">
        <v>3</v>
      </c>
      <c r="E993" s="1">
        <v>30</v>
      </c>
      <c r="F993" s="24">
        <f t="shared" si="23"/>
        <v>0.9750390015600624</v>
      </c>
    </row>
    <row r="994" spans="2:6" x14ac:dyDescent="0.25">
      <c r="B994" s="1" t="s">
        <v>294</v>
      </c>
      <c r="C994" s="1" t="s">
        <v>26</v>
      </c>
      <c r="D994" s="1">
        <v>200</v>
      </c>
      <c r="E994" s="1">
        <v>220</v>
      </c>
      <c r="F994" s="24">
        <f t="shared" si="23"/>
        <v>7.1502860114404569</v>
      </c>
    </row>
    <row r="995" spans="2:6" x14ac:dyDescent="0.25">
      <c r="B995" s="1" t="s">
        <v>275</v>
      </c>
      <c r="C995" s="1" t="s">
        <v>26</v>
      </c>
      <c r="D995" s="1">
        <v>120</v>
      </c>
      <c r="E995" s="1">
        <v>180</v>
      </c>
      <c r="F995" s="24">
        <f t="shared" si="23"/>
        <v>5.8502340093603742</v>
      </c>
    </row>
    <row r="996" spans="2:6" x14ac:dyDescent="0.25">
      <c r="B996" s="1" t="s">
        <v>390</v>
      </c>
      <c r="C996" s="1" t="s">
        <v>261</v>
      </c>
      <c r="D996" s="1">
        <v>60</v>
      </c>
      <c r="E996" s="1">
        <v>78</v>
      </c>
      <c r="F996" s="24">
        <f t="shared" si="23"/>
        <v>2.5351014040561624</v>
      </c>
    </row>
    <row r="997" spans="2:6" x14ac:dyDescent="0.25">
      <c r="B997" s="1" t="s">
        <v>319</v>
      </c>
      <c r="C997" s="1" t="s">
        <v>261</v>
      </c>
      <c r="D997" s="1">
        <v>16</v>
      </c>
      <c r="E997" s="1">
        <v>20.8</v>
      </c>
      <c r="F997" s="24">
        <f t="shared" si="23"/>
        <v>0.67602704108164335</v>
      </c>
    </row>
    <row r="998" spans="2:6" x14ac:dyDescent="0.25">
      <c r="B998" s="1" t="s">
        <v>320</v>
      </c>
      <c r="C998" s="1" t="s">
        <v>261</v>
      </c>
      <c r="D998" s="1">
        <v>50</v>
      </c>
      <c r="E998" s="1">
        <v>95</v>
      </c>
      <c r="F998" s="24">
        <f t="shared" si="23"/>
        <v>3.0876235049401974</v>
      </c>
    </row>
    <row r="999" spans="2:6" x14ac:dyDescent="0.25">
      <c r="B999" s="1" t="s">
        <v>325</v>
      </c>
      <c r="C999" s="1" t="s">
        <v>261</v>
      </c>
      <c r="D999" s="1">
        <v>75</v>
      </c>
      <c r="E999" s="1">
        <v>142.5</v>
      </c>
      <c r="F999" s="24">
        <f t="shared" si="23"/>
        <v>4.6314352574102964</v>
      </c>
    </row>
    <row r="1000" spans="2:6" x14ac:dyDescent="0.25">
      <c r="B1000" s="1" t="s">
        <v>343</v>
      </c>
      <c r="C1000" s="1" t="s">
        <v>256</v>
      </c>
      <c r="D1000" s="1">
        <v>3</v>
      </c>
      <c r="E1000" s="1">
        <v>450</v>
      </c>
      <c r="F1000" s="24">
        <f t="shared" si="23"/>
        <v>14.625585023400935</v>
      </c>
    </row>
    <row r="1001" spans="2:6" x14ac:dyDescent="0.25">
      <c r="B1001" s="1" t="s">
        <v>322</v>
      </c>
      <c r="C1001" s="1" t="s">
        <v>261</v>
      </c>
      <c r="D1001" s="1">
        <v>250</v>
      </c>
      <c r="E1001" s="1">
        <v>300</v>
      </c>
      <c r="F1001" s="24">
        <f t="shared" si="23"/>
        <v>9.7503900156006242</v>
      </c>
    </row>
    <row r="1002" spans="2:6" x14ac:dyDescent="0.25">
      <c r="B1002" s="1" t="s">
        <v>323</v>
      </c>
      <c r="C1002" s="1" t="s">
        <v>261</v>
      </c>
      <c r="D1002" s="1">
        <v>950</v>
      </c>
      <c r="E1002" s="1">
        <v>950</v>
      </c>
      <c r="F1002" s="24">
        <f t="shared" si="23"/>
        <v>30.876235049401973</v>
      </c>
    </row>
    <row r="1003" spans="2:6" x14ac:dyDescent="0.25">
      <c r="B1003" s="10" t="s">
        <v>20</v>
      </c>
      <c r="C1003" s="1"/>
      <c r="D1003" s="1"/>
      <c r="E1003" s="4">
        <f>SUM(E990:E1002)</f>
        <v>2793.3</v>
      </c>
      <c r="F1003" s="22">
        <f>SUM(F990:F1002)</f>
        <v>90.785881435257409</v>
      </c>
    </row>
    <row r="1004" spans="2:6" x14ac:dyDescent="0.25">
      <c r="B1004" s="4" t="s">
        <v>22</v>
      </c>
      <c r="C1004" s="6"/>
      <c r="D1004" s="6"/>
      <c r="E1004" s="6"/>
      <c r="F1004" s="23">
        <f>F988+F1003</f>
        <v>107.7758814352574</v>
      </c>
    </row>
    <row r="1005" spans="2:6" x14ac:dyDescent="0.25">
      <c r="B1005" s="7"/>
      <c r="C1005" s="7"/>
      <c r="D1005" s="7"/>
      <c r="E1005" s="7"/>
      <c r="F1005" s="7"/>
    </row>
    <row r="1006" spans="2:6" x14ac:dyDescent="0.25">
      <c r="B1006" s="13"/>
      <c r="C1006" s="13"/>
      <c r="D1006" s="13"/>
      <c r="E1006" s="13"/>
      <c r="F1006" s="13"/>
    </row>
    <row r="1007" spans="2:6" x14ac:dyDescent="0.25">
      <c r="B1007" s="13"/>
      <c r="C1007" s="13"/>
      <c r="D1007" s="13"/>
      <c r="E1007" s="13"/>
      <c r="F1007" s="13"/>
    </row>
    <row r="1008" spans="2:6" ht="15" customHeight="1" x14ac:dyDescent="0.25">
      <c r="B1008" s="39" t="s">
        <v>23</v>
      </c>
      <c r="C1008" s="39"/>
      <c r="D1008" s="39"/>
      <c r="E1008" s="39" t="s">
        <v>24</v>
      </c>
      <c r="F1008" s="39"/>
    </row>
    <row r="1010" spans="2:6" ht="39" customHeight="1" x14ac:dyDescent="0.25">
      <c r="B1010" s="37" t="s">
        <v>99</v>
      </c>
      <c r="C1010" s="37"/>
      <c r="D1010" s="37"/>
      <c r="E1010" s="37"/>
      <c r="F1010" s="37"/>
    </row>
    <row r="1011" spans="2:6" ht="32.450000000000003" customHeight="1" x14ac:dyDescent="0.25">
      <c r="B1011" s="37" t="s">
        <v>1</v>
      </c>
      <c r="C1011" s="37"/>
      <c r="D1011" s="37"/>
      <c r="E1011" s="37"/>
      <c r="F1011" s="37"/>
    </row>
    <row r="1012" spans="2:6" x14ac:dyDescent="0.25">
      <c r="B1012" s="14" t="s">
        <v>0</v>
      </c>
      <c r="C1012" s="14"/>
      <c r="D1012" s="14"/>
      <c r="E1012" s="14"/>
      <c r="F1012" s="14"/>
    </row>
    <row r="1013" spans="2:6" ht="15" customHeight="1" x14ac:dyDescent="0.25">
      <c r="B1013" s="12"/>
      <c r="C1013" s="38" t="s">
        <v>25</v>
      </c>
      <c r="D1013" s="38"/>
      <c r="E1013" s="12">
        <v>2567.1999999999998</v>
      </c>
      <c r="F1013" s="12" t="s">
        <v>26</v>
      </c>
    </row>
    <row r="1015" spans="2:6" ht="60" x14ac:dyDescent="0.25">
      <c r="B1015" s="1" t="s">
        <v>2</v>
      </c>
      <c r="C1015" s="1" t="s">
        <v>4</v>
      </c>
      <c r="D1015" s="1" t="s">
        <v>3</v>
      </c>
      <c r="E1015" s="1" t="s">
        <v>447</v>
      </c>
      <c r="F1015" s="1" t="s">
        <v>5</v>
      </c>
    </row>
    <row r="1016" spans="2:6" x14ac:dyDescent="0.25">
      <c r="B1016" s="1"/>
      <c r="C1016" s="1"/>
      <c r="D1016" s="1"/>
      <c r="E1016" s="1"/>
      <c r="F1016" s="1"/>
    </row>
    <row r="1017" spans="2:6" x14ac:dyDescent="0.25">
      <c r="B1017" s="3" t="s">
        <v>6</v>
      </c>
      <c r="C1017" s="1"/>
      <c r="D1017" s="1"/>
      <c r="E1017" s="1"/>
      <c r="F1017" s="1"/>
    </row>
    <row r="1018" spans="2:6" x14ac:dyDescent="0.25">
      <c r="B1018" s="5" t="s">
        <v>7</v>
      </c>
      <c r="C1018" s="1"/>
      <c r="D1018" s="1"/>
      <c r="E1018" s="1"/>
      <c r="F1018" s="5">
        <v>2.0099999999999998</v>
      </c>
    </row>
    <row r="1019" spans="2:6" x14ac:dyDescent="0.25">
      <c r="B1019" s="5" t="s">
        <v>8</v>
      </c>
      <c r="C1019" s="1"/>
      <c r="D1019" s="1"/>
      <c r="E1019" s="1"/>
      <c r="F1019" s="5">
        <v>5.34</v>
      </c>
    </row>
    <row r="1020" spans="2:6" x14ac:dyDescent="0.25">
      <c r="B1020" s="15" t="s">
        <v>30</v>
      </c>
      <c r="C1020" s="1"/>
      <c r="D1020" s="1"/>
      <c r="E1020" s="1"/>
      <c r="F1020" s="5">
        <v>0.06</v>
      </c>
    </row>
    <row r="1021" spans="2:6" ht="24.75" x14ac:dyDescent="0.25">
      <c r="B1021" s="5" t="s">
        <v>11</v>
      </c>
      <c r="C1021" s="1"/>
      <c r="D1021" s="1"/>
      <c r="E1021" s="1"/>
      <c r="F1021" s="5">
        <v>0.55000000000000004</v>
      </c>
    </row>
    <row r="1022" spans="2:6" ht="24.75" x14ac:dyDescent="0.25">
      <c r="B1022" s="5" t="s">
        <v>12</v>
      </c>
      <c r="C1022" s="1"/>
      <c r="D1022" s="1"/>
      <c r="E1022" s="1"/>
      <c r="F1022" s="5">
        <v>0.53</v>
      </c>
    </row>
    <row r="1023" spans="2:6" ht="24.75" x14ac:dyDescent="0.25">
      <c r="B1023" s="5" t="s">
        <v>13</v>
      </c>
      <c r="C1023" s="1"/>
      <c r="D1023" s="1"/>
      <c r="E1023" s="1"/>
      <c r="F1023" s="5">
        <v>0.19</v>
      </c>
    </row>
    <row r="1024" spans="2:6" ht="24.75" x14ac:dyDescent="0.25">
      <c r="B1024" s="5" t="s">
        <v>14</v>
      </c>
      <c r="C1024" s="1"/>
      <c r="D1024" s="1"/>
      <c r="E1024" s="1"/>
      <c r="F1024" s="5">
        <v>1.25</v>
      </c>
    </row>
    <row r="1025" spans="2:6" ht="24.75" x14ac:dyDescent="0.25">
      <c r="B1025" s="5" t="s">
        <v>9</v>
      </c>
      <c r="C1025" s="1"/>
      <c r="D1025" s="1"/>
      <c r="E1025" s="1"/>
      <c r="F1025" s="5">
        <v>0.26</v>
      </c>
    </row>
    <row r="1026" spans="2:6" ht="24.75" x14ac:dyDescent="0.25">
      <c r="B1026" s="5" t="s">
        <v>15</v>
      </c>
      <c r="C1026" s="1"/>
      <c r="D1026" s="1"/>
      <c r="E1026" s="1"/>
      <c r="F1026" s="5">
        <v>0.27</v>
      </c>
    </row>
    <row r="1027" spans="2:6" ht="24.75" x14ac:dyDescent="0.25">
      <c r="B1027" s="5" t="s">
        <v>16</v>
      </c>
      <c r="C1027" s="1"/>
      <c r="D1027" s="1"/>
      <c r="E1027" s="1"/>
      <c r="F1027" s="5">
        <v>0.28999999999999998</v>
      </c>
    </row>
    <row r="1028" spans="2:6" x14ac:dyDescent="0.25">
      <c r="B1028" s="5" t="s">
        <v>17</v>
      </c>
      <c r="C1028" s="1"/>
      <c r="D1028" s="1"/>
      <c r="E1028" s="1"/>
      <c r="F1028" s="5">
        <v>0.32</v>
      </c>
    </row>
    <row r="1029" spans="2:6" x14ac:dyDescent="0.25">
      <c r="B1029" s="5" t="s">
        <v>18</v>
      </c>
      <c r="C1029" s="1"/>
      <c r="D1029" s="1"/>
      <c r="E1029" s="1"/>
      <c r="F1029" s="5">
        <v>1.97</v>
      </c>
    </row>
    <row r="1030" spans="2:6" x14ac:dyDescent="0.25">
      <c r="B1030" s="5" t="s">
        <v>19</v>
      </c>
      <c r="C1030" s="1"/>
      <c r="D1030" s="1"/>
      <c r="E1030" s="1"/>
      <c r="F1030" s="5">
        <v>3.95</v>
      </c>
    </row>
    <row r="1031" spans="2:6" x14ac:dyDescent="0.25">
      <c r="B1031" s="10" t="s">
        <v>20</v>
      </c>
      <c r="C1031" s="1"/>
      <c r="D1031" s="1"/>
      <c r="E1031" s="1"/>
      <c r="F1031" s="4">
        <f>SUM(F1018:F1030)</f>
        <v>16.989999999999998</v>
      </c>
    </row>
    <row r="1032" spans="2:6" x14ac:dyDescent="0.25">
      <c r="B1032" s="3" t="s">
        <v>21</v>
      </c>
      <c r="C1032" s="1"/>
      <c r="D1032" s="1"/>
      <c r="E1032" s="1"/>
      <c r="F1032" s="1"/>
    </row>
    <row r="1033" spans="2:6" x14ac:dyDescent="0.25">
      <c r="B1033" s="1" t="s">
        <v>373</v>
      </c>
      <c r="C1033" s="1" t="s">
        <v>368</v>
      </c>
      <c r="D1033" s="1">
        <v>0.2</v>
      </c>
      <c r="E1033" s="1">
        <v>10</v>
      </c>
      <c r="F1033" s="24">
        <f>E1033/2567.2*1000/12</f>
        <v>0.32460787368858418</v>
      </c>
    </row>
    <row r="1034" spans="2:6" x14ac:dyDescent="0.25">
      <c r="B1034" s="1" t="s">
        <v>275</v>
      </c>
      <c r="C1034" s="1" t="s">
        <v>26</v>
      </c>
      <c r="D1034" s="1">
        <v>123</v>
      </c>
      <c r="E1034" s="1">
        <v>184.5</v>
      </c>
      <c r="F1034" s="24">
        <f t="shared" ref="F1034:F1045" si="24">E1034/2567.2*1000/12</f>
        <v>5.989015269554379</v>
      </c>
    </row>
    <row r="1035" spans="2:6" x14ac:dyDescent="0.25">
      <c r="B1035" s="1" t="s">
        <v>390</v>
      </c>
      <c r="C1035" s="1" t="s">
        <v>261</v>
      </c>
      <c r="D1035" s="1">
        <v>60</v>
      </c>
      <c r="E1035" s="1">
        <v>78</v>
      </c>
      <c r="F1035" s="24">
        <f t="shared" si="24"/>
        <v>2.5319414147709569</v>
      </c>
    </row>
    <row r="1036" spans="2:6" x14ac:dyDescent="0.25">
      <c r="B1036" s="1" t="s">
        <v>319</v>
      </c>
      <c r="C1036" s="1" t="s">
        <v>261</v>
      </c>
      <c r="D1036" s="1">
        <v>50</v>
      </c>
      <c r="E1036" s="1">
        <v>65</v>
      </c>
      <c r="F1036" s="24">
        <f t="shared" si="24"/>
        <v>2.1099511789757974</v>
      </c>
    </row>
    <row r="1037" spans="2:6" x14ac:dyDescent="0.25">
      <c r="B1037" s="1" t="s">
        <v>320</v>
      </c>
      <c r="C1037" s="1" t="s">
        <v>261</v>
      </c>
      <c r="D1037" s="1">
        <v>45</v>
      </c>
      <c r="E1037" s="1">
        <v>85.5</v>
      </c>
      <c r="F1037" s="24">
        <f t="shared" si="24"/>
        <v>2.7753973200373951</v>
      </c>
    </row>
    <row r="1038" spans="2:6" x14ac:dyDescent="0.25">
      <c r="B1038" s="1" t="s">
        <v>325</v>
      </c>
      <c r="C1038" s="1" t="s">
        <v>261</v>
      </c>
      <c r="D1038" s="1">
        <v>120</v>
      </c>
      <c r="E1038" s="1">
        <v>228</v>
      </c>
      <c r="F1038" s="24">
        <f t="shared" si="24"/>
        <v>7.4010595200997207</v>
      </c>
    </row>
    <row r="1039" spans="2:6" x14ac:dyDescent="0.25">
      <c r="B1039" s="1" t="s">
        <v>339</v>
      </c>
      <c r="C1039" s="1" t="s">
        <v>26</v>
      </c>
      <c r="D1039" s="1">
        <v>16</v>
      </c>
      <c r="E1039" s="1">
        <v>32</v>
      </c>
      <c r="F1039" s="24">
        <f t="shared" si="24"/>
        <v>1.0387451958034695</v>
      </c>
    </row>
    <row r="1040" spans="2:6" x14ac:dyDescent="0.25">
      <c r="B1040" s="1" t="s">
        <v>343</v>
      </c>
      <c r="C1040" s="1" t="s">
        <v>256</v>
      </c>
      <c r="D1040" s="1">
        <v>3</v>
      </c>
      <c r="E1040" s="1">
        <v>450</v>
      </c>
      <c r="F1040" s="24">
        <f t="shared" si="24"/>
        <v>14.60735431598629</v>
      </c>
    </row>
    <row r="1041" spans="2:6" x14ac:dyDescent="0.25">
      <c r="B1041" s="1" t="s">
        <v>322</v>
      </c>
      <c r="C1041" s="1" t="s">
        <v>261</v>
      </c>
      <c r="D1041" s="1">
        <v>250</v>
      </c>
      <c r="E1041" s="1">
        <v>300</v>
      </c>
      <c r="F1041" s="24">
        <f t="shared" si="24"/>
        <v>9.7382362106575275</v>
      </c>
    </row>
    <row r="1042" spans="2:6" x14ac:dyDescent="0.25">
      <c r="B1042" s="1" t="s">
        <v>323</v>
      </c>
      <c r="C1042" s="1" t="s">
        <v>261</v>
      </c>
      <c r="D1042" s="1">
        <v>950</v>
      </c>
      <c r="E1042" s="1">
        <v>950</v>
      </c>
      <c r="F1042" s="24">
        <f t="shared" si="24"/>
        <v>30.837748000415498</v>
      </c>
    </row>
    <row r="1043" spans="2:6" x14ac:dyDescent="0.25">
      <c r="B1043" s="1" t="s">
        <v>408</v>
      </c>
      <c r="C1043" s="1" t="s">
        <v>261</v>
      </c>
      <c r="D1043" s="1">
        <v>209</v>
      </c>
      <c r="E1043" s="1">
        <v>209</v>
      </c>
      <c r="F1043" s="24">
        <f t="shared" si="24"/>
        <v>6.7843045600914103</v>
      </c>
    </row>
    <row r="1044" spans="2:6" x14ac:dyDescent="0.25">
      <c r="B1044" s="1"/>
      <c r="C1044" s="1"/>
      <c r="D1044" s="1"/>
      <c r="E1044" s="1"/>
      <c r="F1044" s="24">
        <f t="shared" si="24"/>
        <v>0</v>
      </c>
    </row>
    <row r="1045" spans="2:6" x14ac:dyDescent="0.25">
      <c r="B1045" s="1"/>
      <c r="C1045" s="1"/>
      <c r="D1045" s="1"/>
      <c r="E1045" s="1"/>
      <c r="F1045" s="24">
        <f t="shared" si="24"/>
        <v>0</v>
      </c>
    </row>
    <row r="1046" spans="2:6" x14ac:dyDescent="0.25">
      <c r="B1046" s="10" t="s">
        <v>20</v>
      </c>
      <c r="C1046" s="1"/>
      <c r="D1046" s="1"/>
      <c r="E1046" s="4">
        <f>SUM(E1033:E1045)</f>
        <v>2592</v>
      </c>
      <c r="F1046" s="22">
        <f>SUM(F1033:F1045)</f>
        <v>84.138360860081036</v>
      </c>
    </row>
    <row r="1047" spans="2:6" x14ac:dyDescent="0.25">
      <c r="B1047" s="4" t="s">
        <v>22</v>
      </c>
      <c r="C1047" s="6"/>
      <c r="D1047" s="6"/>
      <c r="E1047" s="6"/>
      <c r="F1047" s="23">
        <f>F1031+F1046</f>
        <v>101.12836086008103</v>
      </c>
    </row>
    <row r="1048" spans="2:6" x14ac:dyDescent="0.25">
      <c r="B1048" s="7"/>
      <c r="C1048" s="7"/>
      <c r="D1048" s="7"/>
      <c r="E1048" s="7"/>
      <c r="F1048" s="7"/>
    </row>
    <row r="1049" spans="2:6" x14ac:dyDescent="0.25">
      <c r="B1049" s="13"/>
      <c r="C1049" s="13"/>
      <c r="D1049" s="13"/>
      <c r="E1049" s="13"/>
      <c r="F1049" s="13"/>
    </row>
    <row r="1050" spans="2:6" x14ac:dyDescent="0.25">
      <c r="B1050" s="13"/>
      <c r="C1050" s="13"/>
      <c r="D1050" s="13"/>
      <c r="E1050" s="13"/>
      <c r="F1050" s="13"/>
    </row>
    <row r="1051" spans="2:6" ht="15" customHeight="1" x14ac:dyDescent="0.25">
      <c r="B1051" s="39" t="s">
        <v>23</v>
      </c>
      <c r="C1051" s="39"/>
      <c r="D1051" s="39"/>
      <c r="E1051" s="39" t="s">
        <v>24</v>
      </c>
      <c r="F1051" s="39"/>
    </row>
    <row r="1053" spans="2:6" ht="28.15" customHeight="1" x14ac:dyDescent="0.25">
      <c r="B1053" s="37" t="s">
        <v>100</v>
      </c>
      <c r="C1053" s="37"/>
      <c r="D1053" s="37"/>
      <c r="E1053" s="37"/>
      <c r="F1053" s="37"/>
    </row>
    <row r="1054" spans="2:6" ht="33" customHeight="1" x14ac:dyDescent="0.25">
      <c r="B1054" s="37" t="s">
        <v>1</v>
      </c>
      <c r="C1054" s="37"/>
      <c r="D1054" s="37"/>
      <c r="E1054" s="37"/>
      <c r="F1054" s="37"/>
    </row>
    <row r="1055" spans="2:6" x14ac:dyDescent="0.25">
      <c r="B1055" s="14" t="s">
        <v>0</v>
      </c>
      <c r="C1055" s="14"/>
      <c r="D1055" s="14"/>
      <c r="E1055" s="14"/>
      <c r="F1055" s="14"/>
    </row>
    <row r="1056" spans="2:6" ht="15" customHeight="1" x14ac:dyDescent="0.25">
      <c r="B1056" s="12"/>
      <c r="C1056" s="38" t="s">
        <v>25</v>
      </c>
      <c r="D1056" s="38"/>
      <c r="E1056" s="12">
        <v>2583.8000000000002</v>
      </c>
      <c r="F1056" s="12" t="s">
        <v>26</v>
      </c>
    </row>
    <row r="1058" spans="2:6" ht="60" x14ac:dyDescent="0.25">
      <c r="B1058" s="1" t="s">
        <v>2</v>
      </c>
      <c r="C1058" s="1" t="s">
        <v>4</v>
      </c>
      <c r="D1058" s="1" t="s">
        <v>3</v>
      </c>
      <c r="E1058" s="1" t="s">
        <v>447</v>
      </c>
      <c r="F1058" s="1" t="s">
        <v>5</v>
      </c>
    </row>
    <row r="1059" spans="2:6" x14ac:dyDescent="0.25">
      <c r="B1059" s="1"/>
      <c r="C1059" s="1"/>
      <c r="D1059" s="1"/>
      <c r="E1059" s="1"/>
      <c r="F1059" s="1"/>
    </row>
    <row r="1060" spans="2:6" x14ac:dyDescent="0.25">
      <c r="B1060" s="3" t="s">
        <v>6</v>
      </c>
      <c r="C1060" s="1"/>
      <c r="D1060" s="1"/>
      <c r="E1060" s="1"/>
      <c r="F1060" s="1"/>
    </row>
    <row r="1061" spans="2:6" x14ac:dyDescent="0.25">
      <c r="B1061" s="5" t="s">
        <v>7</v>
      </c>
      <c r="C1061" s="1"/>
      <c r="D1061" s="1"/>
      <c r="E1061" s="1"/>
      <c r="F1061" s="5">
        <v>2.0099999999999998</v>
      </c>
    </row>
    <row r="1062" spans="2:6" x14ac:dyDescent="0.25">
      <c r="B1062" s="5" t="s">
        <v>8</v>
      </c>
      <c r="C1062" s="1"/>
      <c r="D1062" s="1"/>
      <c r="E1062" s="1"/>
      <c r="F1062" s="5">
        <v>5.34</v>
      </c>
    </row>
    <row r="1063" spans="2:6" x14ac:dyDescent="0.25">
      <c r="B1063" s="15" t="s">
        <v>30</v>
      </c>
      <c r="C1063" s="1"/>
      <c r="D1063" s="1"/>
      <c r="E1063" s="1"/>
      <c r="F1063" s="5">
        <v>0.06</v>
      </c>
    </row>
    <row r="1064" spans="2:6" ht="24.75" x14ac:dyDescent="0.25">
      <c r="B1064" s="5" t="s">
        <v>11</v>
      </c>
      <c r="C1064" s="1"/>
      <c r="D1064" s="1"/>
      <c r="E1064" s="1"/>
      <c r="F1064" s="5">
        <v>0.55000000000000004</v>
      </c>
    </row>
    <row r="1065" spans="2:6" ht="24.75" x14ac:dyDescent="0.25">
      <c r="B1065" s="5" t="s">
        <v>12</v>
      </c>
      <c r="C1065" s="1"/>
      <c r="D1065" s="1"/>
      <c r="E1065" s="1"/>
      <c r="F1065" s="5">
        <v>0.53</v>
      </c>
    </row>
    <row r="1066" spans="2:6" ht="24.75" x14ac:dyDescent="0.25">
      <c r="B1066" s="5" t="s">
        <v>13</v>
      </c>
      <c r="C1066" s="1"/>
      <c r="D1066" s="1"/>
      <c r="E1066" s="1"/>
      <c r="F1066" s="5">
        <v>0.19</v>
      </c>
    </row>
    <row r="1067" spans="2:6" ht="24.75" x14ac:dyDescent="0.25">
      <c r="B1067" s="5" t="s">
        <v>14</v>
      </c>
      <c r="C1067" s="1"/>
      <c r="D1067" s="1"/>
      <c r="E1067" s="1"/>
      <c r="F1067" s="5">
        <v>1.25</v>
      </c>
    </row>
    <row r="1068" spans="2:6" ht="24.75" x14ac:dyDescent="0.25">
      <c r="B1068" s="5" t="s">
        <v>9</v>
      </c>
      <c r="C1068" s="1"/>
      <c r="D1068" s="1"/>
      <c r="E1068" s="1"/>
      <c r="F1068" s="5">
        <v>0.26</v>
      </c>
    </row>
    <row r="1069" spans="2:6" ht="24.75" x14ac:dyDescent="0.25">
      <c r="B1069" s="5" t="s">
        <v>15</v>
      </c>
      <c r="C1069" s="1"/>
      <c r="D1069" s="1"/>
      <c r="E1069" s="1"/>
      <c r="F1069" s="5">
        <v>0.27</v>
      </c>
    </row>
    <row r="1070" spans="2:6" ht="24.75" x14ac:dyDescent="0.25">
      <c r="B1070" s="5" t="s">
        <v>16</v>
      </c>
      <c r="C1070" s="1"/>
      <c r="D1070" s="1"/>
      <c r="E1070" s="1"/>
      <c r="F1070" s="5">
        <v>0.28999999999999998</v>
      </c>
    </row>
    <row r="1071" spans="2:6" x14ac:dyDescent="0.25">
      <c r="B1071" s="5" t="s">
        <v>17</v>
      </c>
      <c r="C1071" s="1"/>
      <c r="D1071" s="1"/>
      <c r="E1071" s="1"/>
      <c r="F1071" s="5">
        <v>0.32</v>
      </c>
    </row>
    <row r="1072" spans="2:6" x14ac:dyDescent="0.25">
      <c r="B1072" s="5" t="s">
        <v>18</v>
      </c>
      <c r="C1072" s="1"/>
      <c r="D1072" s="1"/>
      <c r="E1072" s="1"/>
      <c r="F1072" s="5">
        <v>1.97</v>
      </c>
    </row>
    <row r="1073" spans="2:6" x14ac:dyDescent="0.25">
      <c r="B1073" s="5" t="s">
        <v>19</v>
      </c>
      <c r="C1073" s="1"/>
      <c r="D1073" s="1"/>
      <c r="E1073" s="1"/>
      <c r="F1073" s="5">
        <v>3.95</v>
      </c>
    </row>
    <row r="1074" spans="2:6" x14ac:dyDescent="0.25">
      <c r="B1074" s="10" t="s">
        <v>20</v>
      </c>
      <c r="C1074" s="1"/>
      <c r="D1074" s="1"/>
      <c r="E1074" s="1"/>
      <c r="F1074" s="4">
        <f>SUM(F1061:F1073)</f>
        <v>16.989999999999998</v>
      </c>
    </row>
    <row r="1075" spans="2:6" x14ac:dyDescent="0.25">
      <c r="B1075" s="3" t="s">
        <v>21</v>
      </c>
      <c r="C1075" s="1"/>
      <c r="D1075" s="1"/>
      <c r="E1075" s="1"/>
      <c r="F1075" s="1"/>
    </row>
    <row r="1076" spans="2:6" x14ac:dyDescent="0.25">
      <c r="B1076" s="1" t="s">
        <v>409</v>
      </c>
      <c r="C1076" s="1" t="s">
        <v>261</v>
      </c>
      <c r="D1076" s="1">
        <v>100</v>
      </c>
      <c r="E1076" s="1">
        <v>45</v>
      </c>
      <c r="F1076" s="24">
        <f>E1076/2583.8*1000/12</f>
        <v>1.4513507237402274</v>
      </c>
    </row>
    <row r="1077" spans="2:6" x14ac:dyDescent="0.25">
      <c r="B1077" s="1" t="s">
        <v>373</v>
      </c>
      <c r="C1077" s="1" t="s">
        <v>368</v>
      </c>
      <c r="D1077" s="1">
        <v>0.2</v>
      </c>
      <c r="E1077" s="1">
        <v>10</v>
      </c>
      <c r="F1077" s="24">
        <f t="shared" ref="F1077:F1088" si="25">E1077/2583.8*1000/12</f>
        <v>0.32252238305338393</v>
      </c>
    </row>
    <row r="1078" spans="2:6" x14ac:dyDescent="0.25">
      <c r="B1078" s="1" t="s">
        <v>294</v>
      </c>
      <c r="C1078" s="1" t="s">
        <v>26</v>
      </c>
      <c r="D1078" s="1">
        <v>300</v>
      </c>
      <c r="E1078" s="1">
        <v>330</v>
      </c>
      <c r="F1078" s="24">
        <f t="shared" si="25"/>
        <v>10.643238640761668</v>
      </c>
    </row>
    <row r="1079" spans="2:6" x14ac:dyDescent="0.25">
      <c r="B1079" s="1" t="s">
        <v>325</v>
      </c>
      <c r="C1079" s="1" t="s">
        <v>261</v>
      </c>
      <c r="D1079" s="1">
        <v>96</v>
      </c>
      <c r="E1079" s="1">
        <v>182.4</v>
      </c>
      <c r="F1079" s="24">
        <f t="shared" si="25"/>
        <v>5.882808266893722</v>
      </c>
    </row>
    <row r="1080" spans="2:6" x14ac:dyDescent="0.25">
      <c r="B1080" s="1" t="s">
        <v>321</v>
      </c>
      <c r="C1080" s="1" t="s">
        <v>256</v>
      </c>
      <c r="D1080" s="1">
        <v>3</v>
      </c>
      <c r="E1080" s="1">
        <v>450</v>
      </c>
      <c r="F1080" s="24">
        <f t="shared" si="25"/>
        <v>14.513507237402274</v>
      </c>
    </row>
    <row r="1081" spans="2:6" x14ac:dyDescent="0.25">
      <c r="B1081" s="1" t="s">
        <v>322</v>
      </c>
      <c r="C1081" s="1" t="s">
        <v>261</v>
      </c>
      <c r="D1081" s="1">
        <v>250</v>
      </c>
      <c r="E1081" s="1">
        <v>300</v>
      </c>
      <c r="F1081" s="24">
        <f t="shared" si="25"/>
        <v>9.6756714916015163</v>
      </c>
    </row>
    <row r="1082" spans="2:6" x14ac:dyDescent="0.25">
      <c r="B1082" s="1" t="s">
        <v>323</v>
      </c>
      <c r="C1082" s="1" t="s">
        <v>261</v>
      </c>
      <c r="D1082" s="1">
        <v>950</v>
      </c>
      <c r="E1082" s="1">
        <v>950</v>
      </c>
      <c r="F1082" s="24">
        <f t="shared" si="25"/>
        <v>30.63962639007147</v>
      </c>
    </row>
    <row r="1083" spans="2:6" x14ac:dyDescent="0.25">
      <c r="B1083" s="1" t="s">
        <v>352</v>
      </c>
      <c r="C1083" s="1" t="s">
        <v>261</v>
      </c>
      <c r="D1083" s="1">
        <v>206</v>
      </c>
      <c r="E1083" s="1">
        <v>206</v>
      </c>
      <c r="F1083" s="24">
        <f t="shared" si="25"/>
        <v>6.6439610908997082</v>
      </c>
    </row>
    <row r="1084" spans="2:6" x14ac:dyDescent="0.25">
      <c r="B1084" s="1"/>
      <c r="C1084" s="1"/>
      <c r="D1084" s="1"/>
      <c r="E1084" s="1"/>
      <c r="F1084" s="24">
        <f t="shared" si="25"/>
        <v>0</v>
      </c>
    </row>
    <row r="1085" spans="2:6" x14ac:dyDescent="0.25">
      <c r="B1085" s="1"/>
      <c r="C1085" s="1"/>
      <c r="D1085" s="1"/>
      <c r="E1085" s="1"/>
      <c r="F1085" s="24">
        <f t="shared" si="25"/>
        <v>0</v>
      </c>
    </row>
    <row r="1086" spans="2:6" x14ac:dyDescent="0.25">
      <c r="B1086" s="1"/>
      <c r="C1086" s="1"/>
      <c r="D1086" s="1"/>
      <c r="E1086" s="1"/>
      <c r="F1086" s="24">
        <f t="shared" si="25"/>
        <v>0</v>
      </c>
    </row>
    <row r="1087" spans="2:6" x14ac:dyDescent="0.25">
      <c r="B1087" s="1"/>
      <c r="C1087" s="1"/>
      <c r="D1087" s="1"/>
      <c r="E1087" s="1"/>
      <c r="F1087" s="24">
        <f t="shared" si="25"/>
        <v>0</v>
      </c>
    </row>
    <row r="1088" spans="2:6" x14ac:dyDescent="0.25">
      <c r="B1088" s="1"/>
      <c r="C1088" s="1"/>
      <c r="D1088" s="1"/>
      <c r="E1088" s="1"/>
      <c r="F1088" s="24">
        <f t="shared" si="25"/>
        <v>0</v>
      </c>
    </row>
    <row r="1089" spans="2:6" x14ac:dyDescent="0.25">
      <c r="B1089" s="10" t="s">
        <v>20</v>
      </c>
      <c r="C1089" s="1"/>
      <c r="D1089" s="1"/>
      <c r="E1089" s="4">
        <f>SUM(E1076:E1088)</f>
        <v>2473.4</v>
      </c>
      <c r="F1089" s="22">
        <f>SUM(F1076:F1088)</f>
        <v>79.772686224423964</v>
      </c>
    </row>
    <row r="1090" spans="2:6" x14ac:dyDescent="0.25">
      <c r="B1090" s="4" t="s">
        <v>22</v>
      </c>
      <c r="C1090" s="6"/>
      <c r="D1090" s="6"/>
      <c r="E1090" s="6"/>
      <c r="F1090" s="23">
        <f>F1074+F1089</f>
        <v>96.762686224423959</v>
      </c>
    </row>
    <row r="1091" spans="2:6" x14ac:dyDescent="0.25">
      <c r="B1091" s="7"/>
      <c r="C1091" s="7"/>
      <c r="D1091" s="7"/>
      <c r="E1091" s="7"/>
      <c r="F1091" s="7"/>
    </row>
    <row r="1092" spans="2:6" x14ac:dyDescent="0.25">
      <c r="B1092" s="13"/>
      <c r="C1092" s="13"/>
      <c r="D1092" s="13"/>
      <c r="E1092" s="13"/>
      <c r="F1092" s="13"/>
    </row>
    <row r="1093" spans="2:6" x14ac:dyDescent="0.25">
      <c r="B1093" s="13"/>
      <c r="C1093" s="13"/>
      <c r="D1093" s="13"/>
      <c r="E1093" s="13"/>
      <c r="F1093" s="13"/>
    </row>
    <row r="1094" spans="2:6" ht="15" customHeight="1" x14ac:dyDescent="0.25">
      <c r="B1094" s="39" t="s">
        <v>23</v>
      </c>
      <c r="C1094" s="39"/>
      <c r="D1094" s="39"/>
      <c r="E1094" s="39" t="s">
        <v>24</v>
      </c>
      <c r="F1094" s="39"/>
    </row>
    <row r="1096" spans="2:6" ht="31.15" customHeight="1" x14ac:dyDescent="0.25">
      <c r="B1096" s="37" t="s">
        <v>101</v>
      </c>
      <c r="C1096" s="37"/>
      <c r="D1096" s="37"/>
      <c r="E1096" s="37"/>
      <c r="F1096" s="37"/>
    </row>
    <row r="1097" spans="2:6" ht="36.6" customHeight="1" x14ac:dyDescent="0.25">
      <c r="B1097" s="37" t="s">
        <v>1</v>
      </c>
      <c r="C1097" s="37"/>
      <c r="D1097" s="37"/>
      <c r="E1097" s="37"/>
      <c r="F1097" s="37"/>
    </row>
    <row r="1098" spans="2:6" x14ac:dyDescent="0.25">
      <c r="B1098" s="14" t="s">
        <v>0</v>
      </c>
      <c r="C1098" s="14"/>
      <c r="D1098" s="14"/>
      <c r="E1098" s="14"/>
      <c r="F1098" s="14"/>
    </row>
    <row r="1099" spans="2:6" ht="15" customHeight="1" x14ac:dyDescent="0.25">
      <c r="B1099" s="12"/>
      <c r="C1099" s="38" t="s">
        <v>25</v>
      </c>
      <c r="D1099" s="38"/>
      <c r="E1099" s="12">
        <v>2588.1999999999998</v>
      </c>
      <c r="F1099" s="12" t="s">
        <v>26</v>
      </c>
    </row>
    <row r="1101" spans="2:6" ht="60" x14ac:dyDescent="0.25">
      <c r="B1101" s="1" t="s">
        <v>2</v>
      </c>
      <c r="C1101" s="1" t="s">
        <v>4</v>
      </c>
      <c r="D1101" s="1" t="s">
        <v>3</v>
      </c>
      <c r="E1101" s="1" t="s">
        <v>447</v>
      </c>
      <c r="F1101" s="1" t="s">
        <v>5</v>
      </c>
    </row>
    <row r="1102" spans="2:6" x14ac:dyDescent="0.25">
      <c r="B1102" s="1"/>
      <c r="C1102" s="1"/>
      <c r="D1102" s="1"/>
      <c r="E1102" s="1"/>
      <c r="F1102" s="1"/>
    </row>
    <row r="1103" spans="2:6" x14ac:dyDescent="0.25">
      <c r="B1103" s="3" t="s">
        <v>6</v>
      </c>
      <c r="C1103" s="1"/>
      <c r="D1103" s="1"/>
      <c r="E1103" s="1"/>
      <c r="F1103" s="1"/>
    </row>
    <row r="1104" spans="2:6" x14ac:dyDescent="0.25">
      <c r="B1104" s="5" t="s">
        <v>7</v>
      </c>
      <c r="C1104" s="1"/>
      <c r="D1104" s="1"/>
      <c r="E1104" s="1"/>
      <c r="F1104" s="5">
        <v>2.0099999999999998</v>
      </c>
    </row>
    <row r="1105" spans="2:6" x14ac:dyDescent="0.25">
      <c r="B1105" s="5" t="s">
        <v>8</v>
      </c>
      <c r="C1105" s="1"/>
      <c r="D1105" s="1"/>
      <c r="E1105" s="1"/>
      <c r="F1105" s="5">
        <v>5.34</v>
      </c>
    </row>
    <row r="1106" spans="2:6" x14ac:dyDescent="0.25">
      <c r="B1106" s="15" t="s">
        <v>30</v>
      </c>
      <c r="C1106" s="1"/>
      <c r="D1106" s="1"/>
      <c r="E1106" s="1"/>
      <c r="F1106" s="5">
        <v>0.06</v>
      </c>
    </row>
    <row r="1107" spans="2:6" ht="24.75" x14ac:dyDescent="0.25">
      <c r="B1107" s="5" t="s">
        <v>11</v>
      </c>
      <c r="C1107" s="1"/>
      <c r="D1107" s="1"/>
      <c r="E1107" s="1"/>
      <c r="F1107" s="5">
        <v>0.55000000000000004</v>
      </c>
    </row>
    <row r="1108" spans="2:6" ht="24.75" x14ac:dyDescent="0.25">
      <c r="B1108" s="5" t="s">
        <v>12</v>
      </c>
      <c r="C1108" s="1"/>
      <c r="D1108" s="1"/>
      <c r="E1108" s="1"/>
      <c r="F1108" s="5">
        <v>0.53</v>
      </c>
    </row>
    <row r="1109" spans="2:6" ht="24.75" x14ac:dyDescent="0.25">
      <c r="B1109" s="5" t="s">
        <v>13</v>
      </c>
      <c r="C1109" s="1"/>
      <c r="D1109" s="1"/>
      <c r="E1109" s="1"/>
      <c r="F1109" s="5">
        <v>0.19</v>
      </c>
    </row>
    <row r="1110" spans="2:6" ht="24.75" x14ac:dyDescent="0.25">
      <c r="B1110" s="5" t="s">
        <v>14</v>
      </c>
      <c r="C1110" s="1"/>
      <c r="D1110" s="1"/>
      <c r="E1110" s="1"/>
      <c r="F1110" s="5">
        <v>1.25</v>
      </c>
    </row>
    <row r="1111" spans="2:6" ht="24.75" x14ac:dyDescent="0.25">
      <c r="B1111" s="5" t="s">
        <v>9</v>
      </c>
      <c r="C1111" s="1"/>
      <c r="D1111" s="1"/>
      <c r="E1111" s="1"/>
      <c r="F1111" s="5">
        <v>0.26</v>
      </c>
    </row>
    <row r="1112" spans="2:6" ht="24.75" x14ac:dyDescent="0.25">
      <c r="B1112" s="5" t="s">
        <v>15</v>
      </c>
      <c r="C1112" s="1"/>
      <c r="D1112" s="1"/>
      <c r="E1112" s="1"/>
      <c r="F1112" s="5">
        <v>0.27</v>
      </c>
    </row>
    <row r="1113" spans="2:6" ht="24.75" x14ac:dyDescent="0.25">
      <c r="B1113" s="5" t="s">
        <v>16</v>
      </c>
      <c r="C1113" s="1"/>
      <c r="D1113" s="1"/>
      <c r="E1113" s="1"/>
      <c r="F1113" s="5">
        <v>0.28999999999999998</v>
      </c>
    </row>
    <row r="1114" spans="2:6" x14ac:dyDescent="0.25">
      <c r="B1114" s="5" t="s">
        <v>17</v>
      </c>
      <c r="C1114" s="1"/>
      <c r="D1114" s="1"/>
      <c r="E1114" s="1"/>
      <c r="F1114" s="5">
        <v>0.32</v>
      </c>
    </row>
    <row r="1115" spans="2:6" x14ac:dyDescent="0.25">
      <c r="B1115" s="5" t="s">
        <v>18</v>
      </c>
      <c r="C1115" s="1"/>
      <c r="D1115" s="1"/>
      <c r="E1115" s="1"/>
      <c r="F1115" s="5">
        <v>1.97</v>
      </c>
    </row>
    <row r="1116" spans="2:6" x14ac:dyDescent="0.25">
      <c r="B1116" s="5" t="s">
        <v>19</v>
      </c>
      <c r="C1116" s="1"/>
      <c r="D1116" s="1"/>
      <c r="E1116" s="1"/>
      <c r="F1116" s="5">
        <v>3.95</v>
      </c>
    </row>
    <row r="1117" spans="2:6" x14ac:dyDescent="0.25">
      <c r="B1117" s="10" t="s">
        <v>20</v>
      </c>
      <c r="C1117" s="1"/>
      <c r="D1117" s="1"/>
      <c r="E1117" s="1"/>
      <c r="F1117" s="4">
        <f>SUM(F1104:F1116)</f>
        <v>16.989999999999998</v>
      </c>
    </row>
    <row r="1118" spans="2:6" x14ac:dyDescent="0.25">
      <c r="B1118" s="3" t="s">
        <v>21</v>
      </c>
      <c r="C1118" s="1"/>
      <c r="D1118" s="1"/>
      <c r="E1118" s="1"/>
      <c r="F1118" s="1"/>
    </row>
    <row r="1119" spans="2:6" x14ac:dyDescent="0.25">
      <c r="B1119" s="1" t="s">
        <v>352</v>
      </c>
      <c r="C1119" s="1" t="s">
        <v>261</v>
      </c>
      <c r="D1119" s="1">
        <v>186</v>
      </c>
      <c r="E1119" s="1">
        <v>186</v>
      </c>
      <c r="F1119" s="24">
        <f>E1119/2588.2*1000/12</f>
        <v>5.9887180279731096</v>
      </c>
    </row>
    <row r="1120" spans="2:6" x14ac:dyDescent="0.25">
      <c r="B1120" s="1" t="s">
        <v>275</v>
      </c>
      <c r="C1120" s="1" t="s">
        <v>26</v>
      </c>
      <c r="D1120" s="1">
        <v>123</v>
      </c>
      <c r="E1120" s="1">
        <v>184.5</v>
      </c>
      <c r="F1120" s="24">
        <f t="shared" ref="F1120:F1131" si="26">E1120/2588.2*1000/12</f>
        <v>5.9404219148442943</v>
      </c>
    </row>
    <row r="1121" spans="2:6" x14ac:dyDescent="0.25">
      <c r="B1121" s="1" t="s">
        <v>330</v>
      </c>
      <c r="C1121" s="1" t="s">
        <v>261</v>
      </c>
      <c r="D1121" s="1">
        <v>60</v>
      </c>
      <c r="E1121" s="1">
        <v>78</v>
      </c>
      <c r="F1121" s="24">
        <f t="shared" si="26"/>
        <v>2.5113978826984007</v>
      </c>
    </row>
    <row r="1122" spans="2:6" x14ac:dyDescent="0.25">
      <c r="B1122" s="1" t="s">
        <v>320</v>
      </c>
      <c r="C1122" s="1" t="s">
        <v>261</v>
      </c>
      <c r="D1122" s="1">
        <v>50</v>
      </c>
      <c r="E1122" s="1">
        <v>95</v>
      </c>
      <c r="F1122" s="24">
        <f t="shared" si="26"/>
        <v>3.0587538314916416</v>
      </c>
    </row>
    <row r="1123" spans="2:6" x14ac:dyDescent="0.25">
      <c r="B1123" s="1" t="s">
        <v>410</v>
      </c>
      <c r="C1123" s="1" t="s">
        <v>261</v>
      </c>
      <c r="D1123" s="1">
        <v>106</v>
      </c>
      <c r="E1123" s="1">
        <v>201.4</v>
      </c>
      <c r="F1123" s="24">
        <f t="shared" si="26"/>
        <v>6.4845581227622811</v>
      </c>
    </row>
    <row r="1124" spans="2:6" x14ac:dyDescent="0.25">
      <c r="B1124" s="1" t="s">
        <v>343</v>
      </c>
      <c r="C1124" s="1" t="s">
        <v>256</v>
      </c>
      <c r="D1124" s="1">
        <v>3</v>
      </c>
      <c r="E1124" s="1">
        <v>450</v>
      </c>
      <c r="F1124" s="24">
        <f t="shared" si="26"/>
        <v>14.488833938644619</v>
      </c>
    </row>
    <row r="1125" spans="2:6" x14ac:dyDescent="0.25">
      <c r="B1125" s="1" t="s">
        <v>411</v>
      </c>
      <c r="C1125" s="1" t="s">
        <v>261</v>
      </c>
      <c r="D1125" s="1">
        <v>250</v>
      </c>
      <c r="E1125" s="1">
        <v>300</v>
      </c>
      <c r="F1125" s="24">
        <f t="shared" si="26"/>
        <v>9.6592226257630784</v>
      </c>
    </row>
    <row r="1126" spans="2:6" x14ac:dyDescent="0.25">
      <c r="B1126" s="1" t="s">
        <v>323</v>
      </c>
      <c r="C1126" s="1" t="s">
        <v>261</v>
      </c>
      <c r="D1126" s="1">
        <v>950</v>
      </c>
      <c r="E1126" s="1">
        <v>950</v>
      </c>
      <c r="F1126" s="24">
        <f t="shared" si="26"/>
        <v>30.587538314916419</v>
      </c>
    </row>
    <row r="1127" spans="2:6" x14ac:dyDescent="0.25">
      <c r="B1127" s="1" t="s">
        <v>409</v>
      </c>
      <c r="C1127" s="1" t="s">
        <v>261</v>
      </c>
      <c r="D1127" s="1">
        <v>100</v>
      </c>
      <c r="E1127" s="1">
        <v>45</v>
      </c>
      <c r="F1127" s="24">
        <f t="shared" si="26"/>
        <v>1.4488833938644621</v>
      </c>
    </row>
    <row r="1128" spans="2:6" x14ac:dyDescent="0.25">
      <c r="B1128" s="1"/>
      <c r="C1128" s="1"/>
      <c r="D1128" s="1"/>
      <c r="E1128" s="1"/>
      <c r="F1128" s="24">
        <f t="shared" si="26"/>
        <v>0</v>
      </c>
    </row>
    <row r="1129" spans="2:6" x14ac:dyDescent="0.25">
      <c r="B1129" s="1"/>
      <c r="C1129" s="1"/>
      <c r="D1129" s="1"/>
      <c r="E1129" s="1"/>
      <c r="F1129" s="24">
        <f t="shared" si="26"/>
        <v>0</v>
      </c>
    </row>
    <row r="1130" spans="2:6" x14ac:dyDescent="0.25">
      <c r="B1130" s="1"/>
      <c r="C1130" s="1"/>
      <c r="D1130" s="1"/>
      <c r="E1130" s="1"/>
      <c r="F1130" s="24">
        <f t="shared" si="26"/>
        <v>0</v>
      </c>
    </row>
    <row r="1131" spans="2:6" x14ac:dyDescent="0.25">
      <c r="B1131" s="1"/>
      <c r="C1131" s="1"/>
      <c r="D1131" s="1"/>
      <c r="E1131" s="1"/>
      <c r="F1131" s="24">
        <f t="shared" si="26"/>
        <v>0</v>
      </c>
    </row>
    <row r="1132" spans="2:6" x14ac:dyDescent="0.25">
      <c r="B1132" s="10" t="s">
        <v>20</v>
      </c>
      <c r="C1132" s="1"/>
      <c r="D1132" s="1"/>
      <c r="E1132" s="4">
        <f>SUM(E1119:E1131)</f>
        <v>2489.9</v>
      </c>
      <c r="F1132" s="22">
        <f>SUM(F1119:F1131)</f>
        <v>80.168328052958302</v>
      </c>
    </row>
    <row r="1133" spans="2:6" x14ac:dyDescent="0.25">
      <c r="B1133" s="4" t="s">
        <v>22</v>
      </c>
      <c r="C1133" s="6"/>
      <c r="D1133" s="6"/>
      <c r="E1133" s="6"/>
      <c r="F1133" s="23">
        <f>F1117+F1132</f>
        <v>97.158328052958296</v>
      </c>
    </row>
    <row r="1134" spans="2:6" x14ac:dyDescent="0.25">
      <c r="B1134" s="7"/>
      <c r="C1134" s="7"/>
      <c r="D1134" s="7"/>
      <c r="E1134" s="7"/>
      <c r="F1134" s="7"/>
    </row>
    <row r="1135" spans="2:6" x14ac:dyDescent="0.25">
      <c r="B1135" s="13"/>
      <c r="C1135" s="13"/>
      <c r="D1135" s="13"/>
      <c r="E1135" s="13"/>
      <c r="F1135" s="13"/>
    </row>
    <row r="1136" spans="2:6" x14ac:dyDescent="0.25">
      <c r="B1136" s="13"/>
      <c r="C1136" s="13"/>
      <c r="D1136" s="13"/>
      <c r="E1136" s="13"/>
      <c r="F1136" s="13"/>
    </row>
    <row r="1137" spans="2:6" ht="15" customHeight="1" x14ac:dyDescent="0.25">
      <c r="B1137" s="39" t="s">
        <v>23</v>
      </c>
      <c r="C1137" s="39"/>
      <c r="D1137" s="39"/>
      <c r="E1137" s="39" t="s">
        <v>24</v>
      </c>
      <c r="F1137" s="39"/>
    </row>
    <row r="1139" spans="2:6" ht="31.15" customHeight="1" x14ac:dyDescent="0.25">
      <c r="B1139" s="37" t="s">
        <v>102</v>
      </c>
      <c r="C1139" s="37"/>
      <c r="D1139" s="37"/>
      <c r="E1139" s="37"/>
      <c r="F1139" s="37"/>
    </row>
    <row r="1140" spans="2:6" ht="33.6" customHeight="1" x14ac:dyDescent="0.25">
      <c r="B1140" s="37" t="s">
        <v>1</v>
      </c>
      <c r="C1140" s="37"/>
      <c r="D1140" s="37"/>
      <c r="E1140" s="37"/>
      <c r="F1140" s="37"/>
    </row>
    <row r="1141" spans="2:6" x14ac:dyDescent="0.25">
      <c r="B1141" s="14" t="s">
        <v>0</v>
      </c>
      <c r="C1141" s="14"/>
      <c r="D1141" s="14"/>
      <c r="E1141" s="14"/>
      <c r="F1141" s="14"/>
    </row>
    <row r="1142" spans="2:6" ht="15" customHeight="1" x14ac:dyDescent="0.25">
      <c r="B1142" s="12"/>
      <c r="C1142" s="38" t="s">
        <v>25</v>
      </c>
      <c r="D1142" s="38"/>
      <c r="E1142" s="12">
        <v>3017.5</v>
      </c>
      <c r="F1142" s="12" t="s">
        <v>26</v>
      </c>
    </row>
    <row r="1144" spans="2:6" ht="60" x14ac:dyDescent="0.25">
      <c r="B1144" s="1" t="s">
        <v>2</v>
      </c>
      <c r="C1144" s="1" t="s">
        <v>4</v>
      </c>
      <c r="D1144" s="1" t="s">
        <v>3</v>
      </c>
      <c r="E1144" s="1" t="s">
        <v>447</v>
      </c>
      <c r="F1144" s="1" t="s">
        <v>5</v>
      </c>
    </row>
    <row r="1145" spans="2:6" x14ac:dyDescent="0.25">
      <c r="B1145" s="1"/>
      <c r="C1145" s="1"/>
      <c r="D1145" s="1"/>
      <c r="E1145" s="1"/>
      <c r="F1145" s="1"/>
    </row>
    <row r="1146" spans="2:6" x14ac:dyDescent="0.25">
      <c r="B1146" s="3" t="s">
        <v>6</v>
      </c>
      <c r="C1146" s="1"/>
      <c r="D1146" s="1"/>
      <c r="E1146" s="1"/>
      <c r="F1146" s="1"/>
    </row>
    <row r="1147" spans="2:6" x14ac:dyDescent="0.25">
      <c r="B1147" s="5" t="s">
        <v>7</v>
      </c>
      <c r="C1147" s="1"/>
      <c r="D1147" s="1"/>
      <c r="E1147" s="1"/>
      <c r="F1147" s="5">
        <v>2.0099999999999998</v>
      </c>
    </row>
    <row r="1148" spans="2:6" x14ac:dyDescent="0.25">
      <c r="B1148" s="5" t="s">
        <v>8</v>
      </c>
      <c r="C1148" s="1"/>
      <c r="D1148" s="1"/>
      <c r="E1148" s="1"/>
      <c r="F1148" s="5">
        <v>5.34</v>
      </c>
    </row>
    <row r="1149" spans="2:6" x14ac:dyDescent="0.25">
      <c r="B1149" s="15" t="s">
        <v>30</v>
      </c>
      <c r="C1149" s="1"/>
      <c r="D1149" s="1"/>
      <c r="E1149" s="1"/>
      <c r="F1149" s="5">
        <v>0.06</v>
      </c>
    </row>
    <row r="1150" spans="2:6" ht="24.75" x14ac:dyDescent="0.25">
      <c r="B1150" s="5" t="s">
        <v>11</v>
      </c>
      <c r="C1150" s="1"/>
      <c r="D1150" s="1"/>
      <c r="E1150" s="1"/>
      <c r="F1150" s="5">
        <v>0.55000000000000004</v>
      </c>
    </row>
    <row r="1151" spans="2:6" ht="24.75" x14ac:dyDescent="0.25">
      <c r="B1151" s="5" t="s">
        <v>12</v>
      </c>
      <c r="C1151" s="1"/>
      <c r="D1151" s="1"/>
      <c r="E1151" s="1"/>
      <c r="F1151" s="5">
        <v>0.53</v>
      </c>
    </row>
    <row r="1152" spans="2:6" ht="24.75" x14ac:dyDescent="0.25">
      <c r="B1152" s="5" t="s">
        <v>13</v>
      </c>
      <c r="C1152" s="1"/>
      <c r="D1152" s="1"/>
      <c r="E1152" s="1"/>
      <c r="F1152" s="5">
        <v>0.19</v>
      </c>
    </row>
    <row r="1153" spans="2:6" ht="24.75" x14ac:dyDescent="0.25">
      <c r="B1153" s="5" t="s">
        <v>14</v>
      </c>
      <c r="C1153" s="1"/>
      <c r="D1153" s="1"/>
      <c r="E1153" s="1"/>
      <c r="F1153" s="5">
        <v>1.25</v>
      </c>
    </row>
    <row r="1154" spans="2:6" ht="24.75" x14ac:dyDescent="0.25">
      <c r="B1154" s="5" t="s">
        <v>9</v>
      </c>
      <c r="C1154" s="1"/>
      <c r="D1154" s="1"/>
      <c r="E1154" s="1"/>
      <c r="F1154" s="5">
        <v>0.26</v>
      </c>
    </row>
    <row r="1155" spans="2:6" ht="24.75" x14ac:dyDescent="0.25">
      <c r="B1155" s="5" t="s">
        <v>15</v>
      </c>
      <c r="C1155" s="1"/>
      <c r="D1155" s="1"/>
      <c r="E1155" s="1"/>
      <c r="F1155" s="5">
        <v>0.27</v>
      </c>
    </row>
    <row r="1156" spans="2:6" ht="24.75" x14ac:dyDescent="0.25">
      <c r="B1156" s="5" t="s">
        <v>16</v>
      </c>
      <c r="C1156" s="1"/>
      <c r="D1156" s="1"/>
      <c r="E1156" s="1"/>
      <c r="F1156" s="5">
        <v>0.28999999999999998</v>
      </c>
    </row>
    <row r="1157" spans="2:6" x14ac:dyDescent="0.25">
      <c r="B1157" s="5" t="s">
        <v>17</v>
      </c>
      <c r="C1157" s="1"/>
      <c r="D1157" s="1"/>
      <c r="E1157" s="1"/>
      <c r="F1157" s="5">
        <v>0.32</v>
      </c>
    </row>
    <row r="1158" spans="2:6" x14ac:dyDescent="0.25">
      <c r="B1158" s="5" t="s">
        <v>18</v>
      </c>
      <c r="C1158" s="1"/>
      <c r="D1158" s="1"/>
      <c r="E1158" s="1"/>
      <c r="F1158" s="5">
        <v>1.97</v>
      </c>
    </row>
    <row r="1159" spans="2:6" x14ac:dyDescent="0.25">
      <c r="B1159" s="5" t="s">
        <v>19</v>
      </c>
      <c r="C1159" s="1"/>
      <c r="D1159" s="1"/>
      <c r="E1159" s="1"/>
      <c r="F1159" s="5">
        <v>3.95</v>
      </c>
    </row>
    <row r="1160" spans="2:6" x14ac:dyDescent="0.25">
      <c r="B1160" s="10" t="s">
        <v>20</v>
      </c>
      <c r="C1160" s="1"/>
      <c r="D1160" s="1"/>
      <c r="E1160" s="1"/>
      <c r="F1160" s="4">
        <f>SUM(F1147:F1159)</f>
        <v>16.989999999999998</v>
      </c>
    </row>
    <row r="1161" spans="2:6" x14ac:dyDescent="0.25">
      <c r="B1161" s="3" t="s">
        <v>21</v>
      </c>
      <c r="C1161" s="1"/>
      <c r="D1161" s="1"/>
      <c r="E1161" s="1"/>
      <c r="F1161" s="1"/>
    </row>
    <row r="1162" spans="2:6" x14ac:dyDescent="0.25">
      <c r="B1162" s="1" t="s">
        <v>349</v>
      </c>
      <c r="C1162" s="1" t="s">
        <v>261</v>
      </c>
      <c r="D1162" s="1">
        <v>100</v>
      </c>
      <c r="E1162" s="1">
        <v>45</v>
      </c>
      <c r="F1162" s="24">
        <f>E1162/3017.5*1000/12</f>
        <v>1.2427506213753106</v>
      </c>
    </row>
    <row r="1163" spans="2:6" x14ac:dyDescent="0.25">
      <c r="B1163" s="1" t="s">
        <v>327</v>
      </c>
      <c r="C1163" s="1" t="s">
        <v>261</v>
      </c>
      <c r="D1163" s="1">
        <v>289</v>
      </c>
      <c r="E1163" s="1">
        <v>289</v>
      </c>
      <c r="F1163" s="24">
        <f t="shared" ref="F1163:F1174" si="27">E1163/3017.5*1000/12</f>
        <v>7.981220657276995</v>
      </c>
    </row>
    <row r="1164" spans="2:6" x14ac:dyDescent="0.25">
      <c r="B1164" s="1" t="s">
        <v>330</v>
      </c>
      <c r="C1164" s="1" t="s">
        <v>261</v>
      </c>
      <c r="D1164" s="1">
        <v>70</v>
      </c>
      <c r="E1164" s="1">
        <v>91</v>
      </c>
      <c r="F1164" s="24">
        <f t="shared" si="27"/>
        <v>2.5131179232256282</v>
      </c>
    </row>
    <row r="1165" spans="2:6" x14ac:dyDescent="0.25">
      <c r="B1165" s="1" t="s">
        <v>319</v>
      </c>
      <c r="C1165" s="1" t="s">
        <v>261</v>
      </c>
      <c r="D1165" s="1">
        <v>60</v>
      </c>
      <c r="E1165" s="1">
        <v>78</v>
      </c>
      <c r="F1165" s="24">
        <f t="shared" si="27"/>
        <v>2.1541010770505387</v>
      </c>
    </row>
    <row r="1166" spans="2:6" x14ac:dyDescent="0.25">
      <c r="B1166" s="1" t="s">
        <v>320</v>
      </c>
      <c r="C1166" s="1" t="s">
        <v>261</v>
      </c>
      <c r="D1166" s="1">
        <v>60</v>
      </c>
      <c r="E1166" s="1">
        <v>114</v>
      </c>
      <c r="F1166" s="24">
        <f t="shared" si="27"/>
        <v>3.1483015741507869</v>
      </c>
    </row>
    <row r="1167" spans="2:6" x14ac:dyDescent="0.25">
      <c r="B1167" s="1" t="s">
        <v>325</v>
      </c>
      <c r="C1167" s="1" t="s">
        <v>261</v>
      </c>
      <c r="D1167" s="1">
        <v>150</v>
      </c>
      <c r="E1167" s="1">
        <v>285</v>
      </c>
      <c r="F1167" s="24">
        <f t="shared" si="27"/>
        <v>7.8707539353769675</v>
      </c>
    </row>
    <row r="1168" spans="2:6" x14ac:dyDescent="0.25">
      <c r="B1168" s="1" t="s">
        <v>343</v>
      </c>
      <c r="C1168" s="1" t="s">
        <v>256</v>
      </c>
      <c r="D1168" s="1">
        <v>4</v>
      </c>
      <c r="E1168" s="1">
        <v>400</v>
      </c>
      <c r="F1168" s="24">
        <f t="shared" si="27"/>
        <v>11.046672190002761</v>
      </c>
    </row>
    <row r="1169" spans="2:6" x14ac:dyDescent="0.25">
      <c r="B1169" s="1" t="s">
        <v>372</v>
      </c>
      <c r="C1169" s="1" t="s">
        <v>261</v>
      </c>
      <c r="D1169" s="1">
        <v>300</v>
      </c>
      <c r="E1169" s="1">
        <v>360</v>
      </c>
      <c r="F1169" s="24">
        <f t="shared" si="27"/>
        <v>9.9420049710024845</v>
      </c>
    </row>
    <row r="1170" spans="2:6" x14ac:dyDescent="0.25">
      <c r="B1170" s="1" t="s">
        <v>412</v>
      </c>
      <c r="C1170" s="1" t="s">
        <v>261</v>
      </c>
      <c r="D1170" s="1">
        <v>1100</v>
      </c>
      <c r="E1170" s="1">
        <v>1100</v>
      </c>
      <c r="F1170" s="24">
        <f t="shared" si="27"/>
        <v>30.378348522507597</v>
      </c>
    </row>
    <row r="1171" spans="2:6" x14ac:dyDescent="0.25">
      <c r="B1171" s="1"/>
      <c r="C1171" s="1"/>
      <c r="D1171" s="1"/>
      <c r="E1171" s="1"/>
      <c r="F1171" s="24">
        <f t="shared" si="27"/>
        <v>0</v>
      </c>
    </row>
    <row r="1172" spans="2:6" x14ac:dyDescent="0.25">
      <c r="B1172" s="1"/>
      <c r="C1172" s="1"/>
      <c r="D1172" s="1"/>
      <c r="E1172" s="1"/>
      <c r="F1172" s="24">
        <f t="shared" si="27"/>
        <v>0</v>
      </c>
    </row>
    <row r="1173" spans="2:6" x14ac:dyDescent="0.25">
      <c r="B1173" s="1"/>
      <c r="C1173" s="1"/>
      <c r="D1173" s="1"/>
      <c r="E1173" s="1"/>
      <c r="F1173" s="24">
        <f t="shared" si="27"/>
        <v>0</v>
      </c>
    </row>
    <row r="1174" spans="2:6" x14ac:dyDescent="0.25">
      <c r="B1174" s="1"/>
      <c r="C1174" s="1"/>
      <c r="D1174" s="1"/>
      <c r="E1174" s="1"/>
      <c r="F1174" s="24">
        <f t="shared" si="27"/>
        <v>0</v>
      </c>
    </row>
    <row r="1175" spans="2:6" x14ac:dyDescent="0.25">
      <c r="B1175" s="10" t="s">
        <v>20</v>
      </c>
      <c r="C1175" s="1"/>
      <c r="D1175" s="1"/>
      <c r="E1175" s="4">
        <f>SUM(E1162:E1174)</f>
        <v>2762</v>
      </c>
      <c r="F1175" s="22">
        <f>SUM(F1162:F1174)</f>
        <v>76.277271471969073</v>
      </c>
    </row>
    <row r="1176" spans="2:6" x14ac:dyDescent="0.25">
      <c r="B1176" s="4" t="s">
        <v>22</v>
      </c>
      <c r="C1176" s="6"/>
      <c r="D1176" s="6"/>
      <c r="E1176" s="6"/>
      <c r="F1176" s="23">
        <f>F1160+F1175</f>
        <v>93.267271471969067</v>
      </c>
    </row>
    <row r="1177" spans="2:6" x14ac:dyDescent="0.25">
      <c r="B1177" s="7"/>
      <c r="C1177" s="7"/>
      <c r="D1177" s="7"/>
      <c r="E1177" s="7"/>
      <c r="F1177" s="7"/>
    </row>
    <row r="1178" spans="2:6" x14ac:dyDescent="0.25">
      <c r="B1178" s="13"/>
      <c r="C1178" s="13"/>
      <c r="D1178" s="13"/>
      <c r="E1178" s="13"/>
      <c r="F1178" s="13"/>
    </row>
    <row r="1179" spans="2:6" x14ac:dyDescent="0.25">
      <c r="B1179" s="13"/>
      <c r="C1179" s="13"/>
      <c r="D1179" s="13"/>
      <c r="E1179" s="13"/>
      <c r="F1179" s="13"/>
    </row>
    <row r="1180" spans="2:6" ht="15" customHeight="1" x14ac:dyDescent="0.25">
      <c r="B1180" s="39" t="s">
        <v>23</v>
      </c>
      <c r="C1180" s="39"/>
      <c r="D1180" s="39"/>
      <c r="E1180" s="39" t="s">
        <v>24</v>
      </c>
      <c r="F1180" s="39"/>
    </row>
    <row r="1182" spans="2:6" ht="31.9" customHeight="1" x14ac:dyDescent="0.25">
      <c r="B1182" s="37" t="s">
        <v>103</v>
      </c>
      <c r="C1182" s="37"/>
      <c r="D1182" s="37"/>
      <c r="E1182" s="37"/>
      <c r="F1182" s="37"/>
    </row>
    <row r="1183" spans="2:6" ht="32.450000000000003" customHeight="1" x14ac:dyDescent="0.25">
      <c r="B1183" s="37" t="s">
        <v>1</v>
      </c>
      <c r="C1183" s="37"/>
      <c r="D1183" s="37"/>
      <c r="E1183" s="37"/>
      <c r="F1183" s="37"/>
    </row>
    <row r="1184" spans="2:6" x14ac:dyDescent="0.25">
      <c r="B1184" s="14" t="s">
        <v>0</v>
      </c>
      <c r="C1184" s="14"/>
      <c r="D1184" s="14"/>
      <c r="E1184" s="14"/>
      <c r="F1184" s="14"/>
    </row>
    <row r="1185" spans="2:6" ht="15" customHeight="1" x14ac:dyDescent="0.25">
      <c r="B1185" s="12"/>
      <c r="C1185" s="38" t="s">
        <v>25</v>
      </c>
      <c r="D1185" s="38"/>
      <c r="E1185" s="12">
        <v>3067.3</v>
      </c>
      <c r="F1185" s="12" t="s">
        <v>26</v>
      </c>
    </row>
    <row r="1187" spans="2:6" ht="60" x14ac:dyDescent="0.25">
      <c r="B1187" s="1" t="s">
        <v>2</v>
      </c>
      <c r="C1187" s="1" t="s">
        <v>4</v>
      </c>
      <c r="D1187" s="1" t="s">
        <v>3</v>
      </c>
      <c r="E1187" s="1" t="s">
        <v>447</v>
      </c>
      <c r="F1187" s="1" t="s">
        <v>5</v>
      </c>
    </row>
    <row r="1188" spans="2:6" x14ac:dyDescent="0.25">
      <c r="B1188" s="1"/>
      <c r="C1188" s="1"/>
      <c r="D1188" s="1"/>
      <c r="E1188" s="1"/>
      <c r="F1188" s="1"/>
    </row>
    <row r="1189" spans="2:6" x14ac:dyDescent="0.25">
      <c r="B1189" s="3" t="s">
        <v>6</v>
      </c>
      <c r="C1189" s="1"/>
      <c r="D1189" s="1"/>
      <c r="E1189" s="1"/>
      <c r="F1189" s="1"/>
    </row>
    <row r="1190" spans="2:6" x14ac:dyDescent="0.25">
      <c r="B1190" s="5" t="s">
        <v>7</v>
      </c>
      <c r="C1190" s="1"/>
      <c r="D1190" s="1"/>
      <c r="E1190" s="1"/>
      <c r="F1190" s="5">
        <v>2.0099999999999998</v>
      </c>
    </row>
    <row r="1191" spans="2:6" x14ac:dyDescent="0.25">
      <c r="B1191" s="5" t="s">
        <v>8</v>
      </c>
      <c r="C1191" s="1"/>
      <c r="D1191" s="1"/>
      <c r="E1191" s="1"/>
      <c r="F1191" s="5">
        <v>5.34</v>
      </c>
    </row>
    <row r="1192" spans="2:6" x14ac:dyDescent="0.25">
      <c r="B1192" s="15" t="s">
        <v>30</v>
      </c>
      <c r="C1192" s="1"/>
      <c r="D1192" s="1"/>
      <c r="E1192" s="1"/>
      <c r="F1192" s="5">
        <v>0.06</v>
      </c>
    </row>
    <row r="1193" spans="2:6" ht="24.75" x14ac:dyDescent="0.25">
      <c r="B1193" s="5" t="s">
        <v>11</v>
      </c>
      <c r="C1193" s="1"/>
      <c r="D1193" s="1"/>
      <c r="E1193" s="1"/>
      <c r="F1193" s="5">
        <v>0.55000000000000004</v>
      </c>
    </row>
    <row r="1194" spans="2:6" ht="24.75" x14ac:dyDescent="0.25">
      <c r="B1194" s="5" t="s">
        <v>12</v>
      </c>
      <c r="C1194" s="1"/>
      <c r="D1194" s="1"/>
      <c r="E1194" s="1"/>
      <c r="F1194" s="5">
        <v>0.53</v>
      </c>
    </row>
    <row r="1195" spans="2:6" ht="24.75" x14ac:dyDescent="0.25">
      <c r="B1195" s="5" t="s">
        <v>13</v>
      </c>
      <c r="C1195" s="1"/>
      <c r="D1195" s="1"/>
      <c r="E1195" s="1"/>
      <c r="F1195" s="5">
        <v>0.19</v>
      </c>
    </row>
    <row r="1196" spans="2:6" ht="24.75" x14ac:dyDescent="0.25">
      <c r="B1196" s="5" t="s">
        <v>14</v>
      </c>
      <c r="C1196" s="1"/>
      <c r="D1196" s="1"/>
      <c r="E1196" s="1"/>
      <c r="F1196" s="5">
        <v>1.25</v>
      </c>
    </row>
    <row r="1197" spans="2:6" ht="24.75" x14ac:dyDescent="0.25">
      <c r="B1197" s="5" t="s">
        <v>9</v>
      </c>
      <c r="C1197" s="1"/>
      <c r="D1197" s="1"/>
      <c r="E1197" s="1"/>
      <c r="F1197" s="5">
        <v>0.26</v>
      </c>
    </row>
    <row r="1198" spans="2:6" ht="24.75" x14ac:dyDescent="0.25">
      <c r="B1198" s="5" t="s">
        <v>15</v>
      </c>
      <c r="C1198" s="1"/>
      <c r="D1198" s="1"/>
      <c r="E1198" s="1"/>
      <c r="F1198" s="5">
        <v>0.27</v>
      </c>
    </row>
    <row r="1199" spans="2:6" ht="24.75" x14ac:dyDescent="0.25">
      <c r="B1199" s="5" t="s">
        <v>16</v>
      </c>
      <c r="C1199" s="1"/>
      <c r="D1199" s="1"/>
      <c r="E1199" s="1"/>
      <c r="F1199" s="5">
        <v>0.28999999999999998</v>
      </c>
    </row>
    <row r="1200" spans="2:6" x14ac:dyDescent="0.25">
      <c r="B1200" s="5" t="s">
        <v>17</v>
      </c>
      <c r="C1200" s="1"/>
      <c r="D1200" s="1"/>
      <c r="E1200" s="1"/>
      <c r="F1200" s="5">
        <v>0.32</v>
      </c>
    </row>
    <row r="1201" spans="2:6" x14ac:dyDescent="0.25">
      <c r="B1201" s="5" t="s">
        <v>18</v>
      </c>
      <c r="C1201" s="1"/>
      <c r="D1201" s="1"/>
      <c r="E1201" s="1"/>
      <c r="F1201" s="5">
        <v>1.97</v>
      </c>
    </row>
    <row r="1202" spans="2:6" x14ac:dyDescent="0.25">
      <c r="B1202" s="5" t="s">
        <v>19</v>
      </c>
      <c r="C1202" s="1"/>
      <c r="D1202" s="1"/>
      <c r="E1202" s="1"/>
      <c r="F1202" s="5">
        <v>3.95</v>
      </c>
    </row>
    <row r="1203" spans="2:6" x14ac:dyDescent="0.25">
      <c r="B1203" s="10" t="s">
        <v>20</v>
      </c>
      <c r="C1203" s="1"/>
      <c r="D1203" s="1"/>
      <c r="E1203" s="1"/>
      <c r="F1203" s="4">
        <f>SUM(F1190:F1202)</f>
        <v>16.989999999999998</v>
      </c>
    </row>
    <row r="1204" spans="2:6" x14ac:dyDescent="0.25">
      <c r="B1204" s="3" t="s">
        <v>21</v>
      </c>
      <c r="C1204" s="1"/>
      <c r="D1204" s="1"/>
      <c r="E1204" s="1"/>
      <c r="F1204" s="1"/>
    </row>
    <row r="1205" spans="2:6" x14ac:dyDescent="0.25">
      <c r="B1205" s="1" t="s">
        <v>349</v>
      </c>
      <c r="C1205" s="1" t="s">
        <v>261</v>
      </c>
      <c r="D1205" s="1">
        <v>100</v>
      </c>
      <c r="E1205" s="1">
        <v>45</v>
      </c>
      <c r="F1205" s="24">
        <f>E1205/3067.3*1000/12</f>
        <v>1.2225735989306556</v>
      </c>
    </row>
    <row r="1206" spans="2:6" x14ac:dyDescent="0.25">
      <c r="B1206" s="1" t="s">
        <v>317</v>
      </c>
      <c r="C1206" s="1" t="s">
        <v>256</v>
      </c>
      <c r="D1206" s="1">
        <v>1</v>
      </c>
      <c r="E1206" s="1">
        <v>60</v>
      </c>
      <c r="F1206" s="24">
        <f t="shared" ref="F1206:F1217" si="28">E1206/3067.3*1000/12</f>
        <v>1.6300981319075405</v>
      </c>
    </row>
    <row r="1207" spans="2:6" x14ac:dyDescent="0.25">
      <c r="B1207" s="1" t="s">
        <v>381</v>
      </c>
      <c r="C1207" s="1" t="s">
        <v>265</v>
      </c>
      <c r="D1207" s="1">
        <v>3</v>
      </c>
      <c r="E1207" s="1">
        <v>10.5</v>
      </c>
      <c r="F1207" s="24">
        <f t="shared" si="28"/>
        <v>0.2852671730838196</v>
      </c>
    </row>
    <row r="1208" spans="2:6" x14ac:dyDescent="0.25">
      <c r="B1208" s="1" t="s">
        <v>373</v>
      </c>
      <c r="C1208" s="1" t="s">
        <v>368</v>
      </c>
      <c r="D1208" s="1">
        <v>0.2</v>
      </c>
      <c r="E1208" s="1">
        <v>10</v>
      </c>
      <c r="F1208" s="24">
        <f t="shared" si="28"/>
        <v>0.27168302198459016</v>
      </c>
    </row>
    <row r="1209" spans="2:6" x14ac:dyDescent="0.25">
      <c r="B1209" s="1" t="s">
        <v>272</v>
      </c>
      <c r="C1209" s="1" t="s">
        <v>265</v>
      </c>
      <c r="D1209" s="1">
        <v>1</v>
      </c>
      <c r="E1209" s="1">
        <v>10</v>
      </c>
      <c r="F1209" s="24">
        <f t="shared" si="28"/>
        <v>0.27168302198459016</v>
      </c>
    </row>
    <row r="1210" spans="2:6" x14ac:dyDescent="0.25">
      <c r="B1210" s="1" t="s">
        <v>294</v>
      </c>
      <c r="C1210" s="1" t="s">
        <v>26</v>
      </c>
      <c r="D1210" s="1">
        <v>300</v>
      </c>
      <c r="E1210" s="1">
        <v>330</v>
      </c>
      <c r="F1210" s="24">
        <f t="shared" si="28"/>
        <v>8.9655397254914728</v>
      </c>
    </row>
    <row r="1211" spans="2:6" x14ac:dyDescent="0.25">
      <c r="B1211" s="1" t="s">
        <v>320</v>
      </c>
      <c r="C1211" s="1" t="s">
        <v>261</v>
      </c>
      <c r="D1211" s="1">
        <v>60</v>
      </c>
      <c r="E1211" s="1">
        <v>114</v>
      </c>
      <c r="F1211" s="24">
        <f t="shared" si="28"/>
        <v>3.0971864506243274</v>
      </c>
    </row>
    <row r="1212" spans="2:6" x14ac:dyDescent="0.25">
      <c r="B1212" s="1" t="s">
        <v>325</v>
      </c>
      <c r="C1212" s="1" t="s">
        <v>261</v>
      </c>
      <c r="D1212" s="1">
        <v>180</v>
      </c>
      <c r="E1212" s="1">
        <v>342</v>
      </c>
      <c r="F1212" s="24">
        <f t="shared" si="28"/>
        <v>9.2915593518729818</v>
      </c>
    </row>
    <row r="1213" spans="2:6" x14ac:dyDescent="0.25">
      <c r="B1213" s="1" t="s">
        <v>343</v>
      </c>
      <c r="C1213" s="1" t="s">
        <v>256</v>
      </c>
      <c r="D1213" s="1">
        <v>4</v>
      </c>
      <c r="E1213" s="1">
        <v>600</v>
      </c>
      <c r="F1213" s="24">
        <f t="shared" si="28"/>
        <v>16.300981319075408</v>
      </c>
    </row>
    <row r="1214" spans="2:6" x14ac:dyDescent="0.25">
      <c r="B1214" s="1" t="s">
        <v>400</v>
      </c>
      <c r="C1214" s="1" t="s">
        <v>261</v>
      </c>
      <c r="D1214" s="1">
        <v>300</v>
      </c>
      <c r="E1214" s="1">
        <v>360</v>
      </c>
      <c r="F1214" s="24">
        <f t="shared" si="28"/>
        <v>9.7805887914452452</v>
      </c>
    </row>
    <row r="1215" spans="2:6" x14ac:dyDescent="0.25">
      <c r="B1215" s="1" t="s">
        <v>323</v>
      </c>
      <c r="C1215" s="1" t="s">
        <v>261</v>
      </c>
      <c r="D1215" s="1">
        <v>1100</v>
      </c>
      <c r="E1215" s="1">
        <v>1100</v>
      </c>
      <c r="F1215" s="24">
        <f t="shared" si="28"/>
        <v>29.885132418304917</v>
      </c>
    </row>
    <row r="1216" spans="2:6" x14ac:dyDescent="0.25">
      <c r="B1216" s="1"/>
      <c r="C1216" s="1"/>
      <c r="D1216" s="1"/>
      <c r="E1216" s="1"/>
      <c r="F1216" s="24">
        <f t="shared" si="28"/>
        <v>0</v>
      </c>
    </row>
    <row r="1217" spans="2:6" x14ac:dyDescent="0.25">
      <c r="B1217" s="1"/>
      <c r="C1217" s="1"/>
      <c r="D1217" s="1"/>
      <c r="E1217" s="1"/>
      <c r="F1217" s="24">
        <f t="shared" si="28"/>
        <v>0</v>
      </c>
    </row>
    <row r="1218" spans="2:6" x14ac:dyDescent="0.25">
      <c r="B1218" s="10" t="s">
        <v>20</v>
      </c>
      <c r="C1218" s="1"/>
      <c r="D1218" s="1"/>
      <c r="E1218" s="4">
        <f>SUM(E1205:E1217)</f>
        <v>2981.5</v>
      </c>
      <c r="F1218" s="22">
        <f>SUM(F1205:F1217)</f>
        <v>81.00229300470555</v>
      </c>
    </row>
    <row r="1219" spans="2:6" x14ac:dyDescent="0.25">
      <c r="B1219" s="4" t="s">
        <v>22</v>
      </c>
      <c r="C1219" s="6"/>
      <c r="D1219" s="6"/>
      <c r="E1219" s="6"/>
      <c r="F1219" s="23">
        <f>F1203+F1218</f>
        <v>97.992293004705544</v>
      </c>
    </row>
    <row r="1220" spans="2:6" x14ac:dyDescent="0.25">
      <c r="B1220" s="7"/>
      <c r="C1220" s="7"/>
      <c r="D1220" s="7"/>
      <c r="E1220" s="7"/>
      <c r="F1220" s="7"/>
    </row>
    <row r="1221" spans="2:6" x14ac:dyDescent="0.25">
      <c r="B1221" s="13"/>
      <c r="C1221" s="13"/>
      <c r="D1221" s="13"/>
      <c r="E1221" s="13"/>
      <c r="F1221" s="13"/>
    </row>
    <row r="1222" spans="2:6" x14ac:dyDescent="0.25">
      <c r="B1222" s="13"/>
      <c r="C1222" s="13"/>
      <c r="D1222" s="13"/>
      <c r="E1222" s="13"/>
      <c r="F1222" s="13"/>
    </row>
    <row r="1223" spans="2:6" ht="15" customHeight="1" x14ac:dyDescent="0.25">
      <c r="B1223" s="39" t="s">
        <v>23</v>
      </c>
      <c r="C1223" s="39"/>
      <c r="D1223" s="39"/>
      <c r="E1223" s="39" t="s">
        <v>24</v>
      </c>
      <c r="F1223" s="39"/>
    </row>
  </sheetData>
  <mergeCells count="145">
    <mergeCell ref="B1:F1"/>
    <mergeCell ref="B2:F2"/>
    <mergeCell ref="C4:D4"/>
    <mergeCell ref="B41:D41"/>
    <mergeCell ref="E41:F41"/>
    <mergeCell ref="B43:F43"/>
    <mergeCell ref="C87:D87"/>
    <mergeCell ref="B124:D124"/>
    <mergeCell ref="E124:F124"/>
    <mergeCell ref="B126:F126"/>
    <mergeCell ref="B127:F127"/>
    <mergeCell ref="C129:D129"/>
    <mergeCell ref="B44:F44"/>
    <mergeCell ref="C46:D46"/>
    <mergeCell ref="B83:D83"/>
    <mergeCell ref="E83:F83"/>
    <mergeCell ref="B84:F84"/>
    <mergeCell ref="B85:F85"/>
    <mergeCell ref="B211:F211"/>
    <mergeCell ref="B212:F212"/>
    <mergeCell ref="C214:D214"/>
    <mergeCell ref="B252:D252"/>
    <mergeCell ref="E252:F252"/>
    <mergeCell ref="B254:F254"/>
    <mergeCell ref="B166:D166"/>
    <mergeCell ref="E166:F166"/>
    <mergeCell ref="B168:F168"/>
    <mergeCell ref="B169:F169"/>
    <mergeCell ref="C171:D171"/>
    <mergeCell ref="B209:D209"/>
    <mergeCell ref="E209:F209"/>
    <mergeCell ref="C300:D300"/>
    <mergeCell ref="B337:D337"/>
    <mergeCell ref="E337:F337"/>
    <mergeCell ref="B339:F339"/>
    <mergeCell ref="B340:F340"/>
    <mergeCell ref="C342:D342"/>
    <mergeCell ref="B255:F255"/>
    <mergeCell ref="C257:D257"/>
    <mergeCell ref="B295:D295"/>
    <mergeCell ref="E295:F295"/>
    <mergeCell ref="B297:F297"/>
    <mergeCell ref="B298:F298"/>
    <mergeCell ref="B423:F423"/>
    <mergeCell ref="B424:F424"/>
    <mergeCell ref="C426:D426"/>
    <mergeCell ref="B462:D462"/>
    <mergeCell ref="E462:F462"/>
    <mergeCell ref="B465:F465"/>
    <mergeCell ref="B379:D379"/>
    <mergeCell ref="E379:F379"/>
    <mergeCell ref="B381:F381"/>
    <mergeCell ref="B382:F382"/>
    <mergeCell ref="C384:D384"/>
    <mergeCell ref="B421:D421"/>
    <mergeCell ref="E421:F421"/>
    <mergeCell ref="C510:D510"/>
    <mergeCell ref="B546:D546"/>
    <mergeCell ref="E546:F546"/>
    <mergeCell ref="B548:F548"/>
    <mergeCell ref="B549:F549"/>
    <mergeCell ref="C551:D551"/>
    <mergeCell ref="B466:F466"/>
    <mergeCell ref="C468:D468"/>
    <mergeCell ref="B505:D505"/>
    <mergeCell ref="E505:F505"/>
    <mergeCell ref="B507:F507"/>
    <mergeCell ref="B508:F508"/>
    <mergeCell ref="B629:F629"/>
    <mergeCell ref="B630:F630"/>
    <mergeCell ref="C632:D632"/>
    <mergeCell ref="B668:D668"/>
    <mergeCell ref="E668:F668"/>
    <mergeCell ref="B670:F670"/>
    <mergeCell ref="B587:D587"/>
    <mergeCell ref="E587:F587"/>
    <mergeCell ref="B589:F589"/>
    <mergeCell ref="B590:F590"/>
    <mergeCell ref="C592:D592"/>
    <mergeCell ref="B627:D627"/>
    <mergeCell ref="E627:F627"/>
    <mergeCell ref="C714:D714"/>
    <mergeCell ref="B752:D752"/>
    <mergeCell ref="E752:F752"/>
    <mergeCell ref="B754:F754"/>
    <mergeCell ref="B755:F755"/>
    <mergeCell ref="C757:D757"/>
    <mergeCell ref="B671:F671"/>
    <mergeCell ref="C673:D673"/>
    <mergeCell ref="B709:D709"/>
    <mergeCell ref="E709:F709"/>
    <mergeCell ref="B711:F711"/>
    <mergeCell ref="B712:F712"/>
    <mergeCell ref="B838:F838"/>
    <mergeCell ref="B839:F839"/>
    <mergeCell ref="C841:D841"/>
    <mergeCell ref="B879:D879"/>
    <mergeCell ref="E879:F879"/>
    <mergeCell ref="B881:F881"/>
    <mergeCell ref="B793:D793"/>
    <mergeCell ref="E793:F793"/>
    <mergeCell ref="B795:F795"/>
    <mergeCell ref="B796:F796"/>
    <mergeCell ref="C798:D798"/>
    <mergeCell ref="B836:D836"/>
    <mergeCell ref="E836:F836"/>
    <mergeCell ref="C927:D927"/>
    <mergeCell ref="B965:D965"/>
    <mergeCell ref="E965:F965"/>
    <mergeCell ref="B967:F967"/>
    <mergeCell ref="B968:F968"/>
    <mergeCell ref="C970:D970"/>
    <mergeCell ref="B882:F882"/>
    <mergeCell ref="C884:D884"/>
    <mergeCell ref="B922:D922"/>
    <mergeCell ref="E922:F922"/>
    <mergeCell ref="B924:F924"/>
    <mergeCell ref="B925:F925"/>
    <mergeCell ref="B1053:F1053"/>
    <mergeCell ref="B1054:F1054"/>
    <mergeCell ref="C1056:D1056"/>
    <mergeCell ref="B1094:D1094"/>
    <mergeCell ref="E1094:F1094"/>
    <mergeCell ref="B1096:F1096"/>
    <mergeCell ref="B1008:D1008"/>
    <mergeCell ref="E1008:F1008"/>
    <mergeCell ref="B1010:F1010"/>
    <mergeCell ref="B1011:F1011"/>
    <mergeCell ref="C1013:D1013"/>
    <mergeCell ref="B1051:D1051"/>
    <mergeCell ref="E1051:F1051"/>
    <mergeCell ref="B1223:D1223"/>
    <mergeCell ref="E1223:F1223"/>
    <mergeCell ref="C1142:D1142"/>
    <mergeCell ref="B1180:D1180"/>
    <mergeCell ref="E1180:F1180"/>
    <mergeCell ref="B1182:F1182"/>
    <mergeCell ref="B1183:F1183"/>
    <mergeCell ref="C1185:D1185"/>
    <mergeCell ref="B1097:F1097"/>
    <mergeCell ref="C1099:D1099"/>
    <mergeCell ref="B1137:D1137"/>
    <mergeCell ref="E1137:F1137"/>
    <mergeCell ref="B1139:F1139"/>
    <mergeCell ref="B1140:F114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54"/>
  <sheetViews>
    <sheetView topLeftCell="A241" workbookViewId="0">
      <selection activeCell="F28" sqref="F28"/>
    </sheetView>
  </sheetViews>
  <sheetFormatPr defaultRowHeight="15" x14ac:dyDescent="0.25"/>
  <cols>
    <col min="2" max="2" width="40.7109375" customWidth="1"/>
    <col min="6" max="6" width="11.42578125" bestFit="1" customWidth="1"/>
  </cols>
  <sheetData>
    <row r="1" spans="2:6" ht="44.45" customHeight="1" x14ac:dyDescent="0.25">
      <c r="B1" s="37" t="s">
        <v>104</v>
      </c>
      <c r="C1" s="37"/>
      <c r="D1" s="37"/>
      <c r="E1" s="37"/>
      <c r="F1" s="37"/>
    </row>
    <row r="2" spans="2:6" ht="33" customHeight="1" x14ac:dyDescent="0.25">
      <c r="B2" s="37" t="s">
        <v>1</v>
      </c>
      <c r="C2" s="37"/>
      <c r="D2" s="37"/>
      <c r="E2" s="37"/>
      <c r="F2" s="37"/>
    </row>
    <row r="3" spans="2:6" x14ac:dyDescent="0.25">
      <c r="B3" s="14" t="s">
        <v>0</v>
      </c>
      <c r="C3" s="14"/>
      <c r="D3" s="14"/>
      <c r="E3" s="14"/>
      <c r="F3" s="14"/>
    </row>
    <row r="4" spans="2:6" x14ac:dyDescent="0.25">
      <c r="B4" s="12"/>
      <c r="C4" s="38" t="s">
        <v>25</v>
      </c>
      <c r="D4" s="38"/>
      <c r="E4" s="12">
        <v>1449.6</v>
      </c>
      <c r="F4" s="12" t="s">
        <v>26</v>
      </c>
    </row>
    <row r="6" spans="2:6" ht="60" x14ac:dyDescent="0.25">
      <c r="B6" s="1" t="s">
        <v>2</v>
      </c>
      <c r="C6" s="1" t="s">
        <v>4</v>
      </c>
      <c r="D6" s="1" t="s">
        <v>3</v>
      </c>
      <c r="E6" s="1" t="s">
        <v>447</v>
      </c>
      <c r="F6" s="1" t="s">
        <v>5</v>
      </c>
    </row>
    <row r="7" spans="2:6" x14ac:dyDescent="0.25">
      <c r="B7" s="1"/>
      <c r="C7" s="1"/>
      <c r="D7" s="1"/>
      <c r="E7" s="1"/>
      <c r="F7" s="1"/>
    </row>
    <row r="8" spans="2:6" x14ac:dyDescent="0.25">
      <c r="B8" s="3" t="s">
        <v>6</v>
      </c>
      <c r="C8" s="1"/>
      <c r="D8" s="1"/>
      <c r="E8" s="1"/>
      <c r="F8" s="1"/>
    </row>
    <row r="9" spans="2:6" x14ac:dyDescent="0.25">
      <c r="B9" s="5" t="s">
        <v>7</v>
      </c>
      <c r="C9" s="1"/>
      <c r="D9" s="1"/>
      <c r="E9" s="1"/>
      <c r="F9" s="5">
        <v>2.0099999999999998</v>
      </c>
    </row>
    <row r="10" spans="2:6" x14ac:dyDescent="0.25">
      <c r="B10" s="5" t="s">
        <v>8</v>
      </c>
      <c r="C10" s="1"/>
      <c r="D10" s="1"/>
      <c r="E10" s="1"/>
      <c r="F10" s="5">
        <v>5.34</v>
      </c>
    </row>
    <row r="11" spans="2:6" x14ac:dyDescent="0.25">
      <c r="B11" s="15" t="s">
        <v>30</v>
      </c>
      <c r="C11" s="1"/>
      <c r="D11" s="1"/>
      <c r="E11" s="1"/>
      <c r="F11" s="5">
        <v>0.06</v>
      </c>
    </row>
    <row r="12" spans="2:6" ht="24.75" x14ac:dyDescent="0.25">
      <c r="B12" s="5" t="s">
        <v>11</v>
      </c>
      <c r="C12" s="1"/>
      <c r="D12" s="1"/>
      <c r="E12" s="1"/>
      <c r="F12" s="5">
        <v>0.55000000000000004</v>
      </c>
    </row>
    <row r="13" spans="2:6" ht="24.75" x14ac:dyDescent="0.25">
      <c r="B13" s="5" t="s">
        <v>12</v>
      </c>
      <c r="C13" s="1"/>
      <c r="D13" s="1"/>
      <c r="E13" s="1"/>
      <c r="F13" s="5">
        <v>0.53</v>
      </c>
    </row>
    <row r="14" spans="2:6" ht="24.75" x14ac:dyDescent="0.25">
      <c r="B14" s="5" t="s">
        <v>13</v>
      </c>
      <c r="C14" s="1"/>
      <c r="D14" s="1"/>
      <c r="E14" s="1"/>
      <c r="F14" s="5">
        <v>0.19</v>
      </c>
    </row>
    <row r="15" spans="2:6" ht="24.75" x14ac:dyDescent="0.25">
      <c r="B15" s="5" t="s">
        <v>14</v>
      </c>
      <c r="C15" s="1"/>
      <c r="D15" s="1"/>
      <c r="E15" s="1"/>
      <c r="F15" s="5">
        <v>1.25</v>
      </c>
    </row>
    <row r="16" spans="2:6" ht="25.15" customHeight="1" x14ac:dyDescent="0.25">
      <c r="B16" s="5" t="s">
        <v>9</v>
      </c>
      <c r="C16" s="1"/>
      <c r="D16" s="1"/>
      <c r="E16" s="1"/>
      <c r="F16" s="5">
        <v>0.26</v>
      </c>
    </row>
    <row r="17" spans="2:6" ht="24.75" x14ac:dyDescent="0.25">
      <c r="B17" s="5" t="s">
        <v>15</v>
      </c>
      <c r="C17" s="1"/>
      <c r="D17" s="1"/>
      <c r="E17" s="1"/>
      <c r="F17" s="5">
        <v>0.27</v>
      </c>
    </row>
    <row r="18" spans="2:6" ht="24.75" x14ac:dyDescent="0.25">
      <c r="B18" s="5" t="s">
        <v>16</v>
      </c>
      <c r="C18" s="1"/>
      <c r="D18" s="1"/>
      <c r="E18" s="1"/>
      <c r="F18" s="5">
        <v>0.28999999999999998</v>
      </c>
    </row>
    <row r="19" spans="2:6" x14ac:dyDescent="0.25">
      <c r="B19" s="5" t="s">
        <v>17</v>
      </c>
      <c r="C19" s="1"/>
      <c r="D19" s="1"/>
      <c r="E19" s="1"/>
      <c r="F19" s="5">
        <v>0.32</v>
      </c>
    </row>
    <row r="20" spans="2:6" x14ac:dyDescent="0.25">
      <c r="B20" s="5" t="s">
        <v>18</v>
      </c>
      <c r="C20" s="1"/>
      <c r="D20" s="1"/>
      <c r="E20" s="1"/>
      <c r="F20" s="5">
        <v>1.97</v>
      </c>
    </row>
    <row r="21" spans="2:6" x14ac:dyDescent="0.25">
      <c r="B21" s="5" t="s">
        <v>19</v>
      </c>
      <c r="C21" s="1"/>
      <c r="D21" s="1"/>
      <c r="E21" s="1"/>
      <c r="F21" s="5">
        <v>3.95</v>
      </c>
    </row>
    <row r="22" spans="2:6" x14ac:dyDescent="0.25">
      <c r="B22" s="10" t="s">
        <v>20</v>
      </c>
      <c r="C22" s="1"/>
      <c r="D22" s="1"/>
      <c r="E22" s="1"/>
      <c r="F22" s="4">
        <f>SUM(F9:F21)</f>
        <v>16.989999999999998</v>
      </c>
    </row>
    <row r="23" spans="2:6" x14ac:dyDescent="0.25">
      <c r="B23" s="3" t="s">
        <v>21</v>
      </c>
      <c r="C23" s="1"/>
      <c r="D23" s="1"/>
      <c r="E23" s="1"/>
      <c r="F23" s="1"/>
    </row>
    <row r="24" spans="2:6" x14ac:dyDescent="0.25">
      <c r="B24" s="1" t="s">
        <v>414</v>
      </c>
      <c r="C24" s="1" t="s">
        <v>265</v>
      </c>
      <c r="D24" s="1">
        <v>1</v>
      </c>
      <c r="E24" s="1">
        <v>10</v>
      </c>
      <c r="F24" s="24">
        <f>E24/1449.6*1000/12</f>
        <v>0.57487122884473885</v>
      </c>
    </row>
    <row r="25" spans="2:6" x14ac:dyDescent="0.25">
      <c r="B25" s="1" t="s">
        <v>275</v>
      </c>
      <c r="C25" s="1" t="s">
        <v>26</v>
      </c>
      <c r="D25" s="1">
        <v>152</v>
      </c>
      <c r="E25" s="1">
        <v>228</v>
      </c>
      <c r="F25" s="24">
        <f t="shared" ref="F25:F36" si="0">E25/1449.6*1000/12</f>
        <v>13.107064017660043</v>
      </c>
    </row>
    <row r="26" spans="2:6" x14ac:dyDescent="0.25">
      <c r="B26" s="1" t="s">
        <v>335</v>
      </c>
      <c r="C26" s="1" t="s">
        <v>26</v>
      </c>
      <c r="D26" s="1">
        <v>50</v>
      </c>
      <c r="E26" s="1">
        <v>30</v>
      </c>
      <c r="F26" s="24">
        <f t="shared" si="0"/>
        <v>1.7246136865342165</v>
      </c>
    </row>
    <row r="27" spans="2:6" x14ac:dyDescent="0.25">
      <c r="B27" s="1"/>
      <c r="C27" s="1"/>
      <c r="D27" s="1"/>
      <c r="E27" s="1"/>
      <c r="F27" s="24"/>
    </row>
    <row r="28" spans="2:6" x14ac:dyDescent="0.25">
      <c r="B28" s="1" t="s">
        <v>319</v>
      </c>
      <c r="C28" s="1" t="s">
        <v>261</v>
      </c>
      <c r="D28" s="1">
        <v>48</v>
      </c>
      <c r="E28" s="1">
        <v>62.4</v>
      </c>
      <c r="F28" s="24">
        <f t="shared" si="0"/>
        <v>3.5871964679911703</v>
      </c>
    </row>
    <row r="29" spans="2:6" x14ac:dyDescent="0.25">
      <c r="B29" s="1" t="s">
        <v>320</v>
      </c>
      <c r="C29" s="1" t="s">
        <v>261</v>
      </c>
      <c r="D29" s="1">
        <v>40</v>
      </c>
      <c r="E29" s="1">
        <v>56</v>
      </c>
      <c r="F29" s="24">
        <f t="shared" si="0"/>
        <v>3.2192788815305371</v>
      </c>
    </row>
    <row r="30" spans="2:6" x14ac:dyDescent="0.25">
      <c r="B30" s="1" t="s">
        <v>325</v>
      </c>
      <c r="C30" s="1" t="s">
        <v>261</v>
      </c>
      <c r="D30" s="1">
        <v>70</v>
      </c>
      <c r="E30" s="1">
        <v>133</v>
      </c>
      <c r="F30" s="24">
        <f t="shared" si="0"/>
        <v>7.6457873436350274</v>
      </c>
    </row>
    <row r="31" spans="2:6" x14ac:dyDescent="0.25">
      <c r="B31" s="1" t="s">
        <v>343</v>
      </c>
      <c r="C31" s="1" t="s">
        <v>256</v>
      </c>
      <c r="D31" s="1">
        <v>3</v>
      </c>
      <c r="E31" s="1">
        <v>240</v>
      </c>
      <c r="F31" s="24">
        <f t="shared" si="0"/>
        <v>13.796909492273732</v>
      </c>
    </row>
    <row r="32" spans="2:6" x14ac:dyDescent="0.25">
      <c r="B32" s="1" t="s">
        <v>322</v>
      </c>
      <c r="C32" s="1" t="s">
        <v>261</v>
      </c>
      <c r="D32" s="1">
        <v>250</v>
      </c>
      <c r="E32" s="1">
        <v>300</v>
      </c>
      <c r="F32" s="24">
        <f t="shared" si="0"/>
        <v>17.246136865342162</v>
      </c>
    </row>
    <row r="33" spans="2:6" x14ac:dyDescent="0.25">
      <c r="B33" s="1" t="s">
        <v>323</v>
      </c>
      <c r="C33" s="1" t="s">
        <v>261</v>
      </c>
      <c r="D33" s="1">
        <v>800</v>
      </c>
      <c r="E33" s="1">
        <v>800</v>
      </c>
      <c r="F33" s="24">
        <f t="shared" si="0"/>
        <v>45.989698307579111</v>
      </c>
    </row>
    <row r="34" spans="2:6" x14ac:dyDescent="0.25">
      <c r="B34" s="1"/>
      <c r="C34" s="1"/>
      <c r="D34" s="1"/>
      <c r="E34" s="1"/>
      <c r="F34" s="24">
        <f t="shared" si="0"/>
        <v>0</v>
      </c>
    </row>
    <row r="35" spans="2:6" x14ac:dyDescent="0.25">
      <c r="B35" s="1"/>
      <c r="C35" s="1"/>
      <c r="D35" s="1"/>
      <c r="E35" s="1"/>
      <c r="F35" s="24">
        <f t="shared" si="0"/>
        <v>0</v>
      </c>
    </row>
    <row r="36" spans="2:6" x14ac:dyDescent="0.25">
      <c r="B36" s="1"/>
      <c r="C36" s="1"/>
      <c r="D36" s="1"/>
      <c r="E36" s="1"/>
      <c r="F36" s="24">
        <f t="shared" si="0"/>
        <v>0</v>
      </c>
    </row>
    <row r="37" spans="2:6" x14ac:dyDescent="0.25">
      <c r="B37" s="10" t="s">
        <v>20</v>
      </c>
      <c r="C37" s="1"/>
      <c r="D37" s="1"/>
      <c r="E37" s="4">
        <f>SUM(E24:E36)</f>
        <v>1859.4</v>
      </c>
      <c r="F37" s="22">
        <f>SUM(F24:F36)</f>
        <v>106.89155629139074</v>
      </c>
    </row>
    <row r="38" spans="2:6" x14ac:dyDescent="0.25">
      <c r="B38" s="4" t="s">
        <v>22</v>
      </c>
      <c r="C38" s="6"/>
      <c r="D38" s="6"/>
      <c r="E38" s="6"/>
      <c r="F38" s="23">
        <f>F22+F37</f>
        <v>123.88155629139074</v>
      </c>
    </row>
    <row r="39" spans="2:6" x14ac:dyDescent="0.25">
      <c r="B39" s="7"/>
      <c r="C39" s="7"/>
      <c r="D39" s="7"/>
      <c r="E39" s="7"/>
      <c r="F39" s="7"/>
    </row>
    <row r="40" spans="2:6" x14ac:dyDescent="0.25">
      <c r="B40" s="13"/>
      <c r="C40" s="13"/>
      <c r="D40" s="13"/>
      <c r="E40" s="13"/>
      <c r="F40" s="13"/>
    </row>
    <row r="41" spans="2:6" x14ac:dyDescent="0.25">
      <c r="B41" s="13"/>
      <c r="C41" s="13"/>
      <c r="D41" s="13"/>
      <c r="E41" s="13"/>
      <c r="F41" s="13"/>
    </row>
    <row r="42" spans="2:6" x14ac:dyDescent="0.25">
      <c r="B42" s="39" t="s">
        <v>23</v>
      </c>
      <c r="C42" s="38"/>
      <c r="D42" s="38"/>
      <c r="E42" s="39" t="s">
        <v>24</v>
      </c>
      <c r="F42" s="38"/>
    </row>
    <row r="44" spans="2:6" ht="30.6" customHeight="1" x14ac:dyDescent="0.25">
      <c r="B44" s="37" t="s">
        <v>105</v>
      </c>
      <c r="C44" s="37"/>
      <c r="D44" s="37"/>
      <c r="E44" s="37"/>
      <c r="F44" s="37"/>
    </row>
    <row r="45" spans="2:6" ht="30" customHeight="1" x14ac:dyDescent="0.25">
      <c r="B45" s="37" t="s">
        <v>1</v>
      </c>
      <c r="C45" s="37"/>
      <c r="D45" s="37"/>
      <c r="E45" s="37"/>
      <c r="F45" s="37"/>
    </row>
    <row r="46" spans="2:6" x14ac:dyDescent="0.25">
      <c r="B46" s="14" t="s">
        <v>0</v>
      </c>
      <c r="C46" s="14"/>
      <c r="D46" s="14"/>
      <c r="E46" s="14"/>
      <c r="F46" s="14"/>
    </row>
    <row r="47" spans="2:6" x14ac:dyDescent="0.25">
      <c r="B47" s="12"/>
      <c r="C47" s="38" t="s">
        <v>25</v>
      </c>
      <c r="D47" s="38"/>
      <c r="E47" s="12">
        <v>585.5</v>
      </c>
      <c r="F47" s="12" t="s">
        <v>26</v>
      </c>
    </row>
    <row r="49" spans="2:6" ht="60" x14ac:dyDescent="0.25">
      <c r="B49" s="1" t="s">
        <v>2</v>
      </c>
      <c r="C49" s="1" t="s">
        <v>4</v>
      </c>
      <c r="D49" s="1" t="s">
        <v>3</v>
      </c>
      <c r="E49" s="1" t="s">
        <v>447</v>
      </c>
      <c r="F49" s="1" t="s">
        <v>5</v>
      </c>
    </row>
    <row r="50" spans="2:6" x14ac:dyDescent="0.25">
      <c r="B50" s="1"/>
      <c r="C50" s="1"/>
      <c r="D50" s="1"/>
      <c r="E50" s="1"/>
      <c r="F50" s="1"/>
    </row>
    <row r="51" spans="2:6" x14ac:dyDescent="0.25">
      <c r="B51" s="3" t="s">
        <v>6</v>
      </c>
      <c r="C51" s="1"/>
      <c r="D51" s="1"/>
      <c r="E51" s="1"/>
      <c r="F51" s="1"/>
    </row>
    <row r="52" spans="2:6" x14ac:dyDescent="0.25">
      <c r="B52" s="5" t="s">
        <v>7</v>
      </c>
      <c r="C52" s="1"/>
      <c r="D52" s="1"/>
      <c r="E52" s="1"/>
      <c r="F52" s="5">
        <v>2.0099999999999998</v>
      </c>
    </row>
    <row r="53" spans="2:6" x14ac:dyDescent="0.25">
      <c r="B53" s="5" t="s">
        <v>8</v>
      </c>
      <c r="C53" s="1"/>
      <c r="D53" s="1"/>
      <c r="E53" s="1"/>
      <c r="F53" s="5">
        <v>5.34</v>
      </c>
    </row>
    <row r="54" spans="2:6" ht="24.75" x14ac:dyDescent="0.25">
      <c r="B54" s="5" t="s">
        <v>11</v>
      </c>
      <c r="C54" s="1"/>
      <c r="D54" s="1"/>
      <c r="E54" s="1"/>
      <c r="F54" s="5">
        <v>0.55000000000000004</v>
      </c>
    </row>
    <row r="55" spans="2:6" ht="24.75" x14ac:dyDescent="0.25">
      <c r="B55" s="5" t="s">
        <v>12</v>
      </c>
      <c r="C55" s="1"/>
      <c r="D55" s="1"/>
      <c r="E55" s="1"/>
      <c r="F55" s="5">
        <v>0.53</v>
      </c>
    </row>
    <row r="56" spans="2:6" ht="24.75" x14ac:dyDescent="0.25">
      <c r="B56" s="5" t="s">
        <v>13</v>
      </c>
      <c r="C56" s="1"/>
      <c r="D56" s="1"/>
      <c r="E56" s="1"/>
      <c r="F56" s="5">
        <v>0.19</v>
      </c>
    </row>
    <row r="57" spans="2:6" ht="24.75" x14ac:dyDescent="0.25">
      <c r="B57" s="5" t="s">
        <v>14</v>
      </c>
      <c r="C57" s="1"/>
      <c r="D57" s="1"/>
      <c r="E57" s="1"/>
      <c r="F57" s="5">
        <v>1.25</v>
      </c>
    </row>
    <row r="58" spans="2:6" ht="24.75" x14ac:dyDescent="0.25">
      <c r="B58" s="5" t="s">
        <v>9</v>
      </c>
      <c r="C58" s="1"/>
      <c r="D58" s="1"/>
      <c r="E58" s="1"/>
      <c r="F58" s="5">
        <v>0.26</v>
      </c>
    </row>
    <row r="59" spans="2:6" ht="24.75" x14ac:dyDescent="0.25">
      <c r="B59" s="5" t="s">
        <v>15</v>
      </c>
      <c r="C59" s="1"/>
      <c r="D59" s="1"/>
      <c r="E59" s="1"/>
      <c r="F59" s="5">
        <v>0.27</v>
      </c>
    </row>
    <row r="60" spans="2:6" ht="24.75" x14ac:dyDescent="0.25">
      <c r="B60" s="5" t="s">
        <v>16</v>
      </c>
      <c r="C60" s="1"/>
      <c r="D60" s="1"/>
      <c r="E60" s="1"/>
      <c r="F60" s="5">
        <v>0.28999999999999998</v>
      </c>
    </row>
    <row r="61" spans="2:6" x14ac:dyDescent="0.25">
      <c r="B61" s="5" t="s">
        <v>17</v>
      </c>
      <c r="C61" s="1"/>
      <c r="D61" s="1"/>
      <c r="E61" s="1"/>
      <c r="F61" s="5">
        <v>0.32</v>
      </c>
    </row>
    <row r="62" spans="2:6" x14ac:dyDescent="0.25">
      <c r="B62" s="5" t="s">
        <v>18</v>
      </c>
      <c r="C62" s="1"/>
      <c r="D62" s="1"/>
      <c r="E62" s="1"/>
      <c r="F62" s="5">
        <v>1.97</v>
      </c>
    </row>
    <row r="63" spans="2:6" x14ac:dyDescent="0.25">
      <c r="B63" s="5" t="s">
        <v>19</v>
      </c>
      <c r="C63" s="1"/>
      <c r="D63" s="1"/>
      <c r="E63" s="1"/>
      <c r="F63" s="5">
        <v>3.95</v>
      </c>
    </row>
    <row r="64" spans="2:6" x14ac:dyDescent="0.25">
      <c r="B64" s="10" t="s">
        <v>20</v>
      </c>
      <c r="C64" s="1"/>
      <c r="D64" s="1"/>
      <c r="E64" s="1"/>
      <c r="F64" s="4">
        <f>SUM(F52:F63)</f>
        <v>16.93</v>
      </c>
    </row>
    <row r="65" spans="2:6" x14ac:dyDescent="0.25">
      <c r="B65" s="3" t="s">
        <v>21</v>
      </c>
      <c r="C65" s="1"/>
      <c r="D65" s="1"/>
      <c r="E65" s="1"/>
      <c r="F65" s="1"/>
    </row>
    <row r="66" spans="2:6" x14ac:dyDescent="0.25">
      <c r="B66" s="1" t="s">
        <v>415</v>
      </c>
      <c r="C66" s="1" t="s">
        <v>256</v>
      </c>
      <c r="D66" s="1">
        <v>1</v>
      </c>
      <c r="E66" s="1">
        <v>45</v>
      </c>
      <c r="F66" s="24">
        <f>E66/585.5*1000/12</f>
        <v>6.4047822374039285</v>
      </c>
    </row>
    <row r="67" spans="2:6" x14ac:dyDescent="0.25">
      <c r="B67" s="1" t="s">
        <v>326</v>
      </c>
      <c r="C67" s="1" t="s">
        <v>26</v>
      </c>
      <c r="D67" s="1">
        <v>300</v>
      </c>
      <c r="E67" s="1">
        <v>450</v>
      </c>
      <c r="F67" s="24">
        <f t="shared" ref="F67:F78" si="1">E67/585.5*1000/12</f>
        <v>64.047822374039285</v>
      </c>
    </row>
    <row r="68" spans="2:6" x14ac:dyDescent="0.25">
      <c r="B68" s="1" t="s">
        <v>327</v>
      </c>
      <c r="C68" s="1" t="s">
        <v>261</v>
      </c>
      <c r="D68" s="1">
        <v>130</v>
      </c>
      <c r="E68" s="1">
        <v>130</v>
      </c>
      <c r="F68" s="24">
        <f t="shared" si="1"/>
        <v>18.502704241389125</v>
      </c>
    </row>
    <row r="69" spans="2:6" x14ac:dyDescent="0.25">
      <c r="B69" s="1" t="s">
        <v>402</v>
      </c>
      <c r="C69" s="1" t="s">
        <v>265</v>
      </c>
      <c r="D69" s="1">
        <v>2</v>
      </c>
      <c r="E69" s="1">
        <v>20</v>
      </c>
      <c r="F69" s="24">
        <f t="shared" si="1"/>
        <v>2.8465698832906345</v>
      </c>
    </row>
    <row r="70" spans="2:6" x14ac:dyDescent="0.25">
      <c r="B70" s="1" t="s">
        <v>275</v>
      </c>
      <c r="C70" s="1" t="s">
        <v>26</v>
      </c>
      <c r="D70" s="1">
        <v>52</v>
      </c>
      <c r="E70" s="1">
        <v>78</v>
      </c>
      <c r="F70" s="24">
        <f t="shared" si="1"/>
        <v>11.101622544833475</v>
      </c>
    </row>
    <row r="71" spans="2:6" x14ac:dyDescent="0.25">
      <c r="B71" s="1" t="s">
        <v>318</v>
      </c>
      <c r="C71" s="1" t="s">
        <v>26</v>
      </c>
      <c r="D71" s="1">
        <v>600</v>
      </c>
      <c r="E71" s="1">
        <v>492.8</v>
      </c>
      <c r="F71" s="24">
        <f t="shared" si="1"/>
        <v>70.139481924281242</v>
      </c>
    </row>
    <row r="72" spans="2:6" x14ac:dyDescent="0.25">
      <c r="B72" s="1" t="s">
        <v>385</v>
      </c>
      <c r="C72" s="1" t="s">
        <v>26</v>
      </c>
      <c r="D72" s="1">
        <v>4</v>
      </c>
      <c r="E72" s="1">
        <v>2.4</v>
      </c>
      <c r="F72" s="24">
        <f t="shared" si="1"/>
        <v>0.34158838599487612</v>
      </c>
    </row>
    <row r="73" spans="2:6" x14ac:dyDescent="0.25">
      <c r="B73" s="1" t="s">
        <v>416</v>
      </c>
      <c r="C73" s="1" t="s">
        <v>261</v>
      </c>
      <c r="D73" s="1">
        <v>40</v>
      </c>
      <c r="E73" s="1">
        <v>52</v>
      </c>
      <c r="F73" s="24">
        <f t="shared" si="1"/>
        <v>7.4010816965556501</v>
      </c>
    </row>
    <row r="74" spans="2:6" x14ac:dyDescent="0.25">
      <c r="B74" s="1" t="s">
        <v>319</v>
      </c>
      <c r="C74" s="1" t="s">
        <v>261</v>
      </c>
      <c r="D74" s="1">
        <v>20</v>
      </c>
      <c r="E74" s="1">
        <v>26</v>
      </c>
      <c r="F74" s="24">
        <f t="shared" si="1"/>
        <v>3.700540848277825</v>
      </c>
    </row>
    <row r="75" spans="2:6" x14ac:dyDescent="0.25">
      <c r="B75" s="1" t="s">
        <v>320</v>
      </c>
      <c r="C75" s="1" t="s">
        <v>261</v>
      </c>
      <c r="D75" s="1">
        <v>40</v>
      </c>
      <c r="E75" s="1">
        <v>76</v>
      </c>
      <c r="F75" s="24">
        <f t="shared" si="1"/>
        <v>10.816965556504412</v>
      </c>
    </row>
    <row r="76" spans="2:6" x14ac:dyDescent="0.25">
      <c r="B76" s="1" t="s">
        <v>417</v>
      </c>
      <c r="C76" s="1" t="s">
        <v>261</v>
      </c>
      <c r="D76" s="1">
        <v>40</v>
      </c>
      <c r="E76" s="1">
        <v>76</v>
      </c>
      <c r="F76" s="24">
        <f t="shared" si="1"/>
        <v>10.816965556504412</v>
      </c>
    </row>
    <row r="77" spans="2:6" x14ac:dyDescent="0.25">
      <c r="B77" s="1" t="s">
        <v>322</v>
      </c>
      <c r="C77" s="1" t="s">
        <v>261</v>
      </c>
      <c r="D77" s="1">
        <v>120</v>
      </c>
      <c r="E77" s="1">
        <v>144</v>
      </c>
      <c r="F77" s="24">
        <f t="shared" si="1"/>
        <v>20.495303159692572</v>
      </c>
    </row>
    <row r="78" spans="2:6" x14ac:dyDescent="0.25">
      <c r="B78" s="1" t="s">
        <v>323</v>
      </c>
      <c r="C78" s="1" t="s">
        <v>261</v>
      </c>
      <c r="D78" s="1">
        <v>160</v>
      </c>
      <c r="E78" s="1">
        <v>160</v>
      </c>
      <c r="F78" s="24">
        <f t="shared" si="1"/>
        <v>22.772559066325076</v>
      </c>
    </row>
    <row r="79" spans="2:6" x14ac:dyDescent="0.25">
      <c r="B79" s="10" t="s">
        <v>20</v>
      </c>
      <c r="C79" s="1"/>
      <c r="D79" s="1"/>
      <c r="E79" s="4">
        <f>SUM(E66:E78)</f>
        <v>1752.2</v>
      </c>
      <c r="F79" s="22">
        <f>SUM(F66:F78)</f>
        <v>249.38798747509253</v>
      </c>
    </row>
    <row r="80" spans="2:6" x14ac:dyDescent="0.25">
      <c r="B80" s="4" t="s">
        <v>22</v>
      </c>
      <c r="C80" s="6"/>
      <c r="D80" s="6"/>
      <c r="E80" s="6"/>
      <c r="F80" s="23">
        <f>F64+F79</f>
        <v>266.31798747509254</v>
      </c>
    </row>
    <row r="81" spans="2:6" x14ac:dyDescent="0.25">
      <c r="B81" s="7"/>
      <c r="C81" s="7"/>
      <c r="D81" s="7"/>
      <c r="E81" s="7"/>
      <c r="F81" s="7"/>
    </row>
    <row r="82" spans="2:6" x14ac:dyDescent="0.25">
      <c r="B82" s="13"/>
      <c r="C82" s="13"/>
      <c r="D82" s="13"/>
      <c r="E82" s="13"/>
      <c r="F82" s="13"/>
    </row>
    <row r="83" spans="2:6" x14ac:dyDescent="0.25">
      <c r="B83" s="13"/>
      <c r="C83" s="13"/>
      <c r="D83" s="13"/>
      <c r="E83" s="13"/>
      <c r="F83" s="13"/>
    </row>
    <row r="84" spans="2:6" x14ac:dyDescent="0.25">
      <c r="B84" s="39" t="s">
        <v>23</v>
      </c>
      <c r="C84" s="38"/>
      <c r="D84" s="38"/>
      <c r="E84" s="39" t="s">
        <v>24</v>
      </c>
      <c r="F84" s="38"/>
    </row>
    <row r="86" spans="2:6" ht="31.15" customHeight="1" x14ac:dyDescent="0.25">
      <c r="B86" s="37" t="s">
        <v>106</v>
      </c>
      <c r="C86" s="37"/>
      <c r="D86" s="37"/>
      <c r="E86" s="37"/>
      <c r="F86" s="37"/>
    </row>
    <row r="87" spans="2:6" ht="33.6" customHeight="1" x14ac:dyDescent="0.25">
      <c r="B87" s="37" t="s">
        <v>1</v>
      </c>
      <c r="C87" s="37"/>
      <c r="D87" s="37"/>
      <c r="E87" s="37"/>
      <c r="F87" s="37"/>
    </row>
    <row r="88" spans="2:6" x14ac:dyDescent="0.25">
      <c r="B88" s="14" t="s">
        <v>0</v>
      </c>
      <c r="C88" s="14"/>
      <c r="D88" s="14"/>
      <c r="E88" s="14"/>
      <c r="F88" s="14"/>
    </row>
    <row r="89" spans="2:6" x14ac:dyDescent="0.25">
      <c r="B89" s="12"/>
      <c r="C89" s="38" t="s">
        <v>25</v>
      </c>
      <c r="D89" s="38"/>
      <c r="E89" s="12">
        <v>589.9</v>
      </c>
      <c r="F89" s="12" t="s">
        <v>26</v>
      </c>
    </row>
    <row r="91" spans="2:6" ht="60" x14ac:dyDescent="0.25">
      <c r="B91" s="1" t="s">
        <v>2</v>
      </c>
      <c r="C91" s="1" t="s">
        <v>4</v>
      </c>
      <c r="D91" s="1" t="s">
        <v>3</v>
      </c>
      <c r="E91" s="1" t="s">
        <v>447</v>
      </c>
      <c r="F91" s="1" t="s">
        <v>5</v>
      </c>
    </row>
    <row r="92" spans="2:6" x14ac:dyDescent="0.25">
      <c r="B92" s="1"/>
      <c r="C92" s="1"/>
      <c r="D92" s="1"/>
      <c r="E92" s="1"/>
      <c r="F92" s="1"/>
    </row>
    <row r="93" spans="2:6" x14ac:dyDescent="0.25">
      <c r="B93" s="3" t="s">
        <v>6</v>
      </c>
      <c r="C93" s="1"/>
      <c r="D93" s="1"/>
      <c r="E93" s="1"/>
      <c r="F93" s="1"/>
    </row>
    <row r="94" spans="2:6" x14ac:dyDescent="0.25">
      <c r="B94" s="5" t="s">
        <v>7</v>
      </c>
      <c r="C94" s="1"/>
      <c r="D94" s="1"/>
      <c r="E94" s="1"/>
      <c r="F94" s="5">
        <v>2.0099999999999998</v>
      </c>
    </row>
    <row r="95" spans="2:6" x14ac:dyDescent="0.25">
      <c r="B95" s="5" t="s">
        <v>8</v>
      </c>
      <c r="C95" s="1"/>
      <c r="D95" s="1"/>
      <c r="E95" s="1"/>
      <c r="F95" s="5">
        <v>5.34</v>
      </c>
    </row>
    <row r="96" spans="2:6" ht="24.75" x14ac:dyDescent="0.25">
      <c r="B96" s="5" t="s">
        <v>11</v>
      </c>
      <c r="C96" s="1"/>
      <c r="D96" s="1"/>
      <c r="E96" s="1"/>
      <c r="F96" s="5">
        <v>0.55000000000000004</v>
      </c>
    </row>
    <row r="97" spans="2:6" ht="24.75" x14ac:dyDescent="0.25">
      <c r="B97" s="5" t="s">
        <v>12</v>
      </c>
      <c r="C97" s="1"/>
      <c r="D97" s="1"/>
      <c r="E97" s="1"/>
      <c r="F97" s="5">
        <v>0.53</v>
      </c>
    </row>
    <row r="98" spans="2:6" ht="24.75" x14ac:dyDescent="0.25">
      <c r="B98" s="5" t="s">
        <v>13</v>
      </c>
      <c r="C98" s="1"/>
      <c r="D98" s="1"/>
      <c r="E98" s="1"/>
      <c r="F98" s="5">
        <v>0.19</v>
      </c>
    </row>
    <row r="99" spans="2:6" ht="24.75" x14ac:dyDescent="0.25">
      <c r="B99" s="5" t="s">
        <v>14</v>
      </c>
      <c r="C99" s="1"/>
      <c r="D99" s="1"/>
      <c r="E99" s="1"/>
      <c r="F99" s="5">
        <v>1.25</v>
      </c>
    </row>
    <row r="100" spans="2:6" ht="24.75" x14ac:dyDescent="0.25">
      <c r="B100" s="5" t="s">
        <v>9</v>
      </c>
      <c r="C100" s="1"/>
      <c r="D100" s="1"/>
      <c r="E100" s="1"/>
      <c r="F100" s="5">
        <v>0.26</v>
      </c>
    </row>
    <row r="101" spans="2:6" ht="24.75" x14ac:dyDescent="0.25">
      <c r="B101" s="5" t="s">
        <v>15</v>
      </c>
      <c r="C101" s="1"/>
      <c r="D101" s="1"/>
      <c r="E101" s="1"/>
      <c r="F101" s="5">
        <v>0.27</v>
      </c>
    </row>
    <row r="102" spans="2:6" ht="24.75" x14ac:dyDescent="0.25">
      <c r="B102" s="5" t="s">
        <v>16</v>
      </c>
      <c r="C102" s="1"/>
      <c r="D102" s="1"/>
      <c r="E102" s="1"/>
      <c r="F102" s="5">
        <v>0.28999999999999998</v>
      </c>
    </row>
    <row r="103" spans="2:6" x14ac:dyDescent="0.25">
      <c r="B103" s="5" t="s">
        <v>17</v>
      </c>
      <c r="C103" s="1"/>
      <c r="D103" s="1"/>
      <c r="E103" s="1"/>
      <c r="F103" s="5">
        <v>0.32</v>
      </c>
    </row>
    <row r="104" spans="2:6" x14ac:dyDescent="0.25">
      <c r="B104" s="5" t="s">
        <v>18</v>
      </c>
      <c r="C104" s="1"/>
      <c r="D104" s="1"/>
      <c r="E104" s="1"/>
      <c r="F104" s="5">
        <v>1.97</v>
      </c>
    </row>
    <row r="105" spans="2:6" x14ac:dyDescent="0.25">
      <c r="B105" s="5" t="s">
        <v>19</v>
      </c>
      <c r="C105" s="1"/>
      <c r="D105" s="1"/>
      <c r="E105" s="1"/>
      <c r="F105" s="5">
        <v>3.95</v>
      </c>
    </row>
    <row r="106" spans="2:6" x14ac:dyDescent="0.25">
      <c r="B106" s="10" t="s">
        <v>20</v>
      </c>
      <c r="C106" s="1"/>
      <c r="D106" s="1"/>
      <c r="E106" s="1"/>
      <c r="F106" s="4">
        <f>SUM(F94:F105)</f>
        <v>16.93</v>
      </c>
    </row>
    <row r="107" spans="2:6" x14ac:dyDescent="0.25">
      <c r="B107" s="3" t="s">
        <v>21</v>
      </c>
      <c r="C107" s="1"/>
      <c r="D107" s="1"/>
      <c r="E107" s="1"/>
      <c r="F107" s="1"/>
    </row>
    <row r="108" spans="2:6" x14ac:dyDescent="0.25">
      <c r="B108" s="1" t="s">
        <v>317</v>
      </c>
      <c r="C108" s="1" t="s">
        <v>256</v>
      </c>
      <c r="D108" s="1">
        <v>1</v>
      </c>
      <c r="E108" s="1">
        <v>45</v>
      </c>
      <c r="F108" s="24">
        <f>E108/589.9*1000/12</f>
        <v>6.3570096626546873</v>
      </c>
    </row>
    <row r="109" spans="2:6" x14ac:dyDescent="0.25">
      <c r="B109" s="1" t="s">
        <v>326</v>
      </c>
      <c r="C109" s="1" t="s">
        <v>26</v>
      </c>
      <c r="D109" s="1">
        <v>250</v>
      </c>
      <c r="E109" s="1">
        <v>375</v>
      </c>
      <c r="F109" s="24">
        <f t="shared" ref="F109:F120" si="2">E109/589.9*1000/12</f>
        <v>52.975080522122397</v>
      </c>
    </row>
    <row r="110" spans="2:6" x14ac:dyDescent="0.25">
      <c r="B110" s="1" t="s">
        <v>327</v>
      </c>
      <c r="C110" s="1" t="s">
        <v>261</v>
      </c>
      <c r="D110" s="1">
        <v>106</v>
      </c>
      <c r="E110" s="1">
        <v>106</v>
      </c>
      <c r="F110" s="24">
        <f t="shared" si="2"/>
        <v>14.974289427586598</v>
      </c>
    </row>
    <row r="111" spans="2:6" x14ac:dyDescent="0.25">
      <c r="B111" s="1" t="s">
        <v>275</v>
      </c>
      <c r="C111" s="1" t="s">
        <v>26</v>
      </c>
      <c r="D111" s="1">
        <v>55</v>
      </c>
      <c r="E111" s="1">
        <v>82.5</v>
      </c>
      <c r="F111" s="24">
        <f t="shared" si="2"/>
        <v>11.654517714866929</v>
      </c>
    </row>
    <row r="112" spans="2:6" x14ac:dyDescent="0.25">
      <c r="B112" s="1" t="s">
        <v>318</v>
      </c>
      <c r="C112" s="1" t="s">
        <v>26</v>
      </c>
      <c r="D112" s="1">
        <v>616</v>
      </c>
      <c r="E112" s="1">
        <v>492.8</v>
      </c>
      <c r="F112" s="24">
        <f t="shared" si="2"/>
        <v>69.616319150138452</v>
      </c>
    </row>
    <row r="113" spans="2:6" x14ac:dyDescent="0.25">
      <c r="B113" s="1" t="s">
        <v>319</v>
      </c>
      <c r="C113" s="1" t="s">
        <v>261</v>
      </c>
      <c r="D113" s="1">
        <v>8</v>
      </c>
      <c r="E113" s="1">
        <v>10.4</v>
      </c>
      <c r="F113" s="24">
        <f t="shared" si="2"/>
        <v>1.4691755664801944</v>
      </c>
    </row>
    <row r="114" spans="2:6" x14ac:dyDescent="0.25">
      <c r="B114" s="1" t="s">
        <v>342</v>
      </c>
      <c r="C114" s="1" t="s">
        <v>265</v>
      </c>
      <c r="D114" s="1">
        <v>1</v>
      </c>
      <c r="E114" s="1">
        <v>14</v>
      </c>
      <c r="F114" s="24">
        <f t="shared" si="2"/>
        <v>1.9777363394925693</v>
      </c>
    </row>
    <row r="115" spans="2:6" x14ac:dyDescent="0.25">
      <c r="B115" s="1" t="s">
        <v>320</v>
      </c>
      <c r="C115" s="1" t="s">
        <v>261</v>
      </c>
      <c r="D115" s="1">
        <v>40</v>
      </c>
      <c r="E115" s="1">
        <v>76</v>
      </c>
      <c r="F115" s="24">
        <f t="shared" si="2"/>
        <v>10.736282985816805</v>
      </c>
    </row>
    <row r="116" spans="2:6" x14ac:dyDescent="0.25">
      <c r="B116" s="1" t="s">
        <v>325</v>
      </c>
      <c r="C116" s="1" t="s">
        <v>261</v>
      </c>
      <c r="D116" s="1">
        <v>24</v>
      </c>
      <c r="E116" s="1">
        <v>45.6</v>
      </c>
      <c r="F116" s="24">
        <f t="shared" si="2"/>
        <v>6.441769791490084</v>
      </c>
    </row>
    <row r="117" spans="2:6" x14ac:dyDescent="0.25">
      <c r="B117" s="1" t="s">
        <v>322</v>
      </c>
      <c r="C117" s="1" t="s">
        <v>261</v>
      </c>
      <c r="D117" s="1">
        <v>120</v>
      </c>
      <c r="E117" s="1">
        <v>144</v>
      </c>
      <c r="F117" s="24">
        <f t="shared" si="2"/>
        <v>20.342430920495001</v>
      </c>
    </row>
    <row r="118" spans="2:6" x14ac:dyDescent="0.25">
      <c r="B118" s="1" t="s">
        <v>323</v>
      </c>
      <c r="C118" s="1" t="s">
        <v>261</v>
      </c>
      <c r="D118" s="1">
        <v>160</v>
      </c>
      <c r="E118" s="1">
        <v>160</v>
      </c>
      <c r="F118" s="24">
        <f t="shared" si="2"/>
        <v>22.602701022772223</v>
      </c>
    </row>
    <row r="119" spans="2:6" x14ac:dyDescent="0.25">
      <c r="B119" s="1"/>
      <c r="C119" s="1"/>
      <c r="D119" s="1"/>
      <c r="E119" s="1"/>
      <c r="F119" s="24">
        <f t="shared" si="2"/>
        <v>0</v>
      </c>
    </row>
    <row r="120" spans="2:6" x14ac:dyDescent="0.25">
      <c r="B120" s="1"/>
      <c r="C120" s="1"/>
      <c r="D120" s="1"/>
      <c r="E120" s="1"/>
      <c r="F120" s="24">
        <f t="shared" si="2"/>
        <v>0</v>
      </c>
    </row>
    <row r="121" spans="2:6" x14ac:dyDescent="0.25">
      <c r="B121" s="10" t="s">
        <v>20</v>
      </c>
      <c r="C121" s="1"/>
      <c r="D121" s="1"/>
      <c r="E121" s="4">
        <f>SUM(E108:E120)</f>
        <v>1551.3</v>
      </c>
      <c r="F121" s="22">
        <f>SUM(F108:F120)</f>
        <v>219.14731310391596</v>
      </c>
    </row>
    <row r="122" spans="2:6" x14ac:dyDescent="0.25">
      <c r="B122" s="4" t="s">
        <v>22</v>
      </c>
      <c r="C122" s="6"/>
      <c r="D122" s="6"/>
      <c r="E122" s="6"/>
      <c r="F122" s="23">
        <f>F106+F121</f>
        <v>236.07731310391597</v>
      </c>
    </row>
    <row r="123" spans="2:6" x14ac:dyDescent="0.25">
      <c r="B123" s="7"/>
      <c r="C123" s="7"/>
      <c r="D123" s="7"/>
      <c r="E123" s="7"/>
      <c r="F123" s="7"/>
    </row>
    <row r="124" spans="2:6" x14ac:dyDescent="0.25">
      <c r="B124" s="13"/>
      <c r="C124" s="13"/>
      <c r="D124" s="13"/>
      <c r="E124" s="13"/>
      <c r="F124" s="13"/>
    </row>
    <row r="125" spans="2:6" x14ac:dyDescent="0.25">
      <c r="B125" s="13"/>
      <c r="C125" s="13"/>
      <c r="D125" s="13"/>
      <c r="E125" s="13"/>
      <c r="F125" s="13"/>
    </row>
    <row r="126" spans="2:6" x14ac:dyDescent="0.25">
      <c r="B126" s="39" t="s">
        <v>23</v>
      </c>
      <c r="C126" s="38"/>
      <c r="D126" s="38"/>
      <c r="E126" s="39" t="s">
        <v>24</v>
      </c>
      <c r="F126" s="38"/>
    </row>
    <row r="128" spans="2:6" ht="28.9" customHeight="1" x14ac:dyDescent="0.25">
      <c r="B128" s="37" t="s">
        <v>107</v>
      </c>
      <c r="C128" s="37"/>
      <c r="D128" s="37"/>
      <c r="E128" s="37"/>
      <c r="F128" s="37"/>
    </row>
    <row r="129" spans="2:6" ht="36.6" customHeight="1" x14ac:dyDescent="0.25">
      <c r="B129" s="37" t="s">
        <v>1</v>
      </c>
      <c r="C129" s="37"/>
      <c r="D129" s="37"/>
      <c r="E129" s="37"/>
      <c r="F129" s="37"/>
    </row>
    <row r="130" spans="2:6" x14ac:dyDescent="0.25">
      <c r="B130" s="14" t="s">
        <v>0</v>
      </c>
      <c r="C130" s="14"/>
      <c r="D130" s="14"/>
      <c r="E130" s="14"/>
      <c r="F130" s="14"/>
    </row>
    <row r="131" spans="2:6" x14ac:dyDescent="0.25">
      <c r="B131" s="12"/>
      <c r="C131" s="38" t="s">
        <v>25</v>
      </c>
      <c r="D131" s="38"/>
      <c r="E131" s="12">
        <v>579.6</v>
      </c>
      <c r="F131" s="12" t="s">
        <v>26</v>
      </c>
    </row>
    <row r="133" spans="2:6" ht="60" x14ac:dyDescent="0.25">
      <c r="B133" s="1" t="s">
        <v>2</v>
      </c>
      <c r="C133" s="1" t="s">
        <v>4</v>
      </c>
      <c r="D133" s="1" t="s">
        <v>3</v>
      </c>
      <c r="E133" s="1" t="s">
        <v>447</v>
      </c>
      <c r="F133" s="1" t="s">
        <v>5</v>
      </c>
    </row>
    <row r="134" spans="2:6" x14ac:dyDescent="0.25">
      <c r="B134" s="1"/>
      <c r="C134" s="1"/>
      <c r="D134" s="1"/>
      <c r="E134" s="1"/>
      <c r="F134" s="1"/>
    </row>
    <row r="135" spans="2:6" x14ac:dyDescent="0.25">
      <c r="B135" s="3" t="s">
        <v>6</v>
      </c>
      <c r="C135" s="1"/>
      <c r="D135" s="1"/>
      <c r="E135" s="1"/>
      <c r="F135" s="1"/>
    </row>
    <row r="136" spans="2:6" x14ac:dyDescent="0.25">
      <c r="B136" s="5" t="s">
        <v>7</v>
      </c>
      <c r="C136" s="1"/>
      <c r="D136" s="1"/>
      <c r="E136" s="1"/>
      <c r="F136" s="5">
        <v>2.0099999999999998</v>
      </c>
    </row>
    <row r="137" spans="2:6" x14ac:dyDescent="0.25">
      <c r="B137" s="5" t="s">
        <v>8</v>
      </c>
      <c r="C137" s="1"/>
      <c r="D137" s="1"/>
      <c r="E137" s="1"/>
      <c r="F137" s="5">
        <v>5.34</v>
      </c>
    </row>
    <row r="138" spans="2:6" ht="24.75" x14ac:dyDescent="0.25">
      <c r="B138" s="5" t="s">
        <v>11</v>
      </c>
      <c r="C138" s="1"/>
      <c r="D138" s="1"/>
      <c r="E138" s="1"/>
      <c r="F138" s="5">
        <v>0.55000000000000004</v>
      </c>
    </row>
    <row r="139" spans="2:6" ht="24.75" x14ac:dyDescent="0.25">
      <c r="B139" s="5" t="s">
        <v>12</v>
      </c>
      <c r="C139" s="1"/>
      <c r="D139" s="1"/>
      <c r="E139" s="1"/>
      <c r="F139" s="5">
        <v>0.53</v>
      </c>
    </row>
    <row r="140" spans="2:6" ht="24.75" x14ac:dyDescent="0.25">
      <c r="B140" s="5" t="s">
        <v>13</v>
      </c>
      <c r="C140" s="1"/>
      <c r="D140" s="1"/>
      <c r="E140" s="1"/>
      <c r="F140" s="5">
        <v>0.19</v>
      </c>
    </row>
    <row r="141" spans="2:6" ht="24.75" x14ac:dyDescent="0.25">
      <c r="B141" s="5" t="s">
        <v>14</v>
      </c>
      <c r="C141" s="1"/>
      <c r="D141" s="1"/>
      <c r="E141" s="1"/>
      <c r="F141" s="5">
        <v>1.25</v>
      </c>
    </row>
    <row r="142" spans="2:6" ht="24.75" x14ac:dyDescent="0.25">
      <c r="B142" s="5" t="s">
        <v>9</v>
      </c>
      <c r="C142" s="1"/>
      <c r="D142" s="1"/>
      <c r="E142" s="1"/>
      <c r="F142" s="5">
        <v>0.26</v>
      </c>
    </row>
    <row r="143" spans="2:6" ht="24.75" x14ac:dyDescent="0.25">
      <c r="B143" s="5" t="s">
        <v>15</v>
      </c>
      <c r="C143" s="1"/>
      <c r="D143" s="1"/>
      <c r="E143" s="1"/>
      <c r="F143" s="5">
        <v>0.27</v>
      </c>
    </row>
    <row r="144" spans="2:6" ht="24.75" x14ac:dyDescent="0.25">
      <c r="B144" s="5" t="s">
        <v>16</v>
      </c>
      <c r="C144" s="1"/>
      <c r="D144" s="1"/>
      <c r="E144" s="1"/>
      <c r="F144" s="5">
        <v>0.28999999999999998</v>
      </c>
    </row>
    <row r="145" spans="2:6" x14ac:dyDescent="0.25">
      <c r="B145" s="5" t="s">
        <v>17</v>
      </c>
      <c r="C145" s="1"/>
      <c r="D145" s="1"/>
      <c r="E145" s="1"/>
      <c r="F145" s="5">
        <v>0.32</v>
      </c>
    </row>
    <row r="146" spans="2:6" x14ac:dyDescent="0.25">
      <c r="B146" s="5" t="s">
        <v>18</v>
      </c>
      <c r="C146" s="1"/>
      <c r="D146" s="1"/>
      <c r="E146" s="1"/>
      <c r="F146" s="5">
        <v>1.97</v>
      </c>
    </row>
    <row r="147" spans="2:6" x14ac:dyDescent="0.25">
      <c r="B147" s="5" t="s">
        <v>19</v>
      </c>
      <c r="C147" s="1"/>
      <c r="D147" s="1"/>
      <c r="E147" s="1"/>
      <c r="F147" s="5">
        <v>3.95</v>
      </c>
    </row>
    <row r="148" spans="2:6" x14ac:dyDescent="0.25">
      <c r="B148" s="10" t="s">
        <v>20</v>
      </c>
      <c r="C148" s="1"/>
      <c r="D148" s="1"/>
      <c r="E148" s="1"/>
      <c r="F148" s="4">
        <f>SUM(F136:F147)</f>
        <v>16.93</v>
      </c>
    </row>
    <row r="149" spans="2:6" x14ac:dyDescent="0.25">
      <c r="B149" s="3" t="s">
        <v>21</v>
      </c>
      <c r="C149" s="1"/>
      <c r="D149" s="1"/>
      <c r="E149" s="1"/>
      <c r="F149" s="1"/>
    </row>
    <row r="150" spans="2:6" x14ac:dyDescent="0.25">
      <c r="B150" s="1" t="s">
        <v>275</v>
      </c>
      <c r="C150" s="1" t="s">
        <v>26</v>
      </c>
      <c r="D150" s="1">
        <v>56</v>
      </c>
      <c r="E150" s="1">
        <v>84</v>
      </c>
      <c r="F150" s="24">
        <f>E150/579.6*1000/12</f>
        <v>12.077294685990339</v>
      </c>
    </row>
    <row r="151" spans="2:6" x14ac:dyDescent="0.25">
      <c r="B151" s="1" t="s">
        <v>327</v>
      </c>
      <c r="C151" s="1" t="s">
        <v>261</v>
      </c>
      <c r="D151" s="1">
        <v>60</v>
      </c>
      <c r="E151" s="1">
        <v>60</v>
      </c>
      <c r="F151" s="24">
        <f t="shared" ref="F151:F162" si="3">E151/579.6*1000/12</f>
        <v>8.6266390614216686</v>
      </c>
    </row>
    <row r="152" spans="2:6" x14ac:dyDescent="0.25">
      <c r="B152" s="1" t="s">
        <v>334</v>
      </c>
      <c r="C152" s="1" t="s">
        <v>265</v>
      </c>
      <c r="D152" s="1">
        <v>1</v>
      </c>
      <c r="E152" s="1">
        <v>10</v>
      </c>
      <c r="F152" s="24">
        <f t="shared" si="3"/>
        <v>1.4377731769036117</v>
      </c>
    </row>
    <row r="153" spans="2:6" x14ac:dyDescent="0.25">
      <c r="B153" s="1" t="s">
        <v>372</v>
      </c>
      <c r="C153" s="1" t="s">
        <v>261</v>
      </c>
      <c r="D153" s="1">
        <v>180</v>
      </c>
      <c r="E153" s="1">
        <v>216</v>
      </c>
      <c r="F153" s="24">
        <f t="shared" si="3"/>
        <v>31.05590062111801</v>
      </c>
    </row>
    <row r="154" spans="2:6" x14ac:dyDescent="0.25">
      <c r="B154" s="1" t="s">
        <v>323</v>
      </c>
      <c r="C154" s="1" t="s">
        <v>261</v>
      </c>
      <c r="D154" s="1">
        <v>160</v>
      </c>
      <c r="E154" s="1">
        <v>160</v>
      </c>
      <c r="F154" s="24">
        <f t="shared" si="3"/>
        <v>23.004370830457788</v>
      </c>
    </row>
    <row r="155" spans="2:6" x14ac:dyDescent="0.25">
      <c r="B155" s="1"/>
      <c r="C155" s="1"/>
      <c r="D155" s="1"/>
      <c r="E155" s="1"/>
      <c r="F155" s="24">
        <f t="shared" si="3"/>
        <v>0</v>
      </c>
    </row>
    <row r="156" spans="2:6" x14ac:dyDescent="0.25">
      <c r="B156" s="1"/>
      <c r="C156" s="1"/>
      <c r="D156" s="1"/>
      <c r="E156" s="1"/>
      <c r="F156" s="24">
        <f t="shared" si="3"/>
        <v>0</v>
      </c>
    </row>
    <row r="157" spans="2:6" x14ac:dyDescent="0.25">
      <c r="B157" s="1"/>
      <c r="C157" s="1"/>
      <c r="D157" s="1"/>
      <c r="E157" s="1"/>
      <c r="F157" s="24">
        <f t="shared" si="3"/>
        <v>0</v>
      </c>
    </row>
    <row r="158" spans="2:6" x14ac:dyDescent="0.25">
      <c r="B158" s="1"/>
      <c r="C158" s="1"/>
      <c r="D158" s="1"/>
      <c r="E158" s="1"/>
      <c r="F158" s="24">
        <f t="shared" si="3"/>
        <v>0</v>
      </c>
    </row>
    <row r="159" spans="2:6" x14ac:dyDescent="0.25">
      <c r="B159" s="1"/>
      <c r="C159" s="1"/>
      <c r="D159" s="1"/>
      <c r="E159" s="1"/>
      <c r="F159" s="24">
        <f t="shared" si="3"/>
        <v>0</v>
      </c>
    </row>
    <row r="160" spans="2:6" x14ac:dyDescent="0.25">
      <c r="B160" s="1"/>
      <c r="C160" s="1"/>
      <c r="D160" s="1"/>
      <c r="E160" s="1"/>
      <c r="F160" s="24">
        <f t="shared" si="3"/>
        <v>0</v>
      </c>
    </row>
    <row r="161" spans="2:6" x14ac:dyDescent="0.25">
      <c r="B161" s="1"/>
      <c r="C161" s="1"/>
      <c r="D161" s="1"/>
      <c r="E161" s="1"/>
      <c r="F161" s="24">
        <f t="shared" si="3"/>
        <v>0</v>
      </c>
    </row>
    <row r="162" spans="2:6" x14ac:dyDescent="0.25">
      <c r="B162" s="1"/>
      <c r="C162" s="1"/>
      <c r="D162" s="1"/>
      <c r="E162" s="1"/>
      <c r="F162" s="24">
        <f t="shared" si="3"/>
        <v>0</v>
      </c>
    </row>
    <row r="163" spans="2:6" x14ac:dyDescent="0.25">
      <c r="B163" s="10" t="s">
        <v>20</v>
      </c>
      <c r="C163" s="1"/>
      <c r="D163" s="1"/>
      <c r="E163" s="4">
        <f>SUM(E150:E162)</f>
        <v>530</v>
      </c>
      <c r="F163" s="22">
        <f>SUM(F150:F162)</f>
        <v>76.201978375891414</v>
      </c>
    </row>
    <row r="164" spans="2:6" x14ac:dyDescent="0.25">
      <c r="B164" s="4" t="s">
        <v>22</v>
      </c>
      <c r="C164" s="6"/>
      <c r="D164" s="6"/>
      <c r="E164" s="6"/>
      <c r="F164" s="23">
        <f>F148+F163</f>
        <v>93.131978375891407</v>
      </c>
    </row>
    <row r="165" spans="2:6" x14ac:dyDescent="0.25">
      <c r="B165" s="7"/>
      <c r="C165" s="7"/>
      <c r="D165" s="7"/>
      <c r="E165" s="7"/>
      <c r="F165" s="7"/>
    </row>
    <row r="166" spans="2:6" x14ac:dyDescent="0.25">
      <c r="B166" s="13"/>
      <c r="C166" s="13"/>
      <c r="D166" s="13"/>
      <c r="E166" s="13"/>
      <c r="F166" s="13"/>
    </row>
    <row r="167" spans="2:6" x14ac:dyDescent="0.25">
      <c r="B167" s="13"/>
      <c r="C167" s="13"/>
      <c r="D167" s="13"/>
      <c r="E167" s="13"/>
      <c r="F167" s="13"/>
    </row>
    <row r="168" spans="2:6" x14ac:dyDescent="0.25">
      <c r="B168" s="39" t="s">
        <v>23</v>
      </c>
      <c r="C168" s="38"/>
      <c r="D168" s="38"/>
      <c r="E168" s="39" t="s">
        <v>24</v>
      </c>
      <c r="F168" s="38"/>
    </row>
    <row r="170" spans="2:6" ht="31.9" customHeight="1" x14ac:dyDescent="0.25">
      <c r="B170" s="37" t="s">
        <v>108</v>
      </c>
      <c r="C170" s="37"/>
      <c r="D170" s="37"/>
      <c r="E170" s="37"/>
      <c r="F170" s="37"/>
    </row>
    <row r="171" spans="2:6" ht="37.9" customHeight="1" x14ac:dyDescent="0.25">
      <c r="B171" s="37" t="s">
        <v>1</v>
      </c>
      <c r="C171" s="37"/>
      <c r="D171" s="37"/>
      <c r="E171" s="37"/>
      <c r="F171" s="37"/>
    </row>
    <row r="172" spans="2:6" x14ac:dyDescent="0.25">
      <c r="B172" s="14" t="s">
        <v>0</v>
      </c>
      <c r="C172" s="14"/>
      <c r="D172" s="14"/>
      <c r="E172" s="14"/>
      <c r="F172" s="14"/>
    </row>
    <row r="173" spans="2:6" x14ac:dyDescent="0.25">
      <c r="B173" s="12"/>
      <c r="C173" s="38" t="s">
        <v>25</v>
      </c>
      <c r="D173" s="38"/>
      <c r="E173" s="12">
        <v>2071.3000000000002</v>
      </c>
      <c r="F173" s="12" t="s">
        <v>26</v>
      </c>
    </row>
    <row r="175" spans="2:6" ht="60" x14ac:dyDescent="0.25">
      <c r="B175" s="1" t="s">
        <v>2</v>
      </c>
      <c r="C175" s="1" t="s">
        <v>4</v>
      </c>
      <c r="D175" s="1" t="s">
        <v>3</v>
      </c>
      <c r="E175" s="1" t="s">
        <v>447</v>
      </c>
      <c r="F175" s="1" t="s">
        <v>5</v>
      </c>
    </row>
    <row r="176" spans="2:6" x14ac:dyDescent="0.25">
      <c r="B176" s="1"/>
      <c r="C176" s="1"/>
      <c r="D176" s="1"/>
      <c r="E176" s="1"/>
      <c r="F176" s="1"/>
    </row>
    <row r="177" spans="2:6" x14ac:dyDescent="0.25">
      <c r="B177" s="3" t="s">
        <v>6</v>
      </c>
      <c r="C177" s="1"/>
      <c r="D177" s="1"/>
      <c r="E177" s="1"/>
      <c r="F177" s="1"/>
    </row>
    <row r="178" spans="2:6" x14ac:dyDescent="0.25">
      <c r="B178" s="5" t="s">
        <v>7</v>
      </c>
      <c r="C178" s="1"/>
      <c r="D178" s="1"/>
      <c r="E178" s="1"/>
      <c r="F178" s="5">
        <v>2.0099999999999998</v>
      </c>
    </row>
    <row r="179" spans="2:6" x14ac:dyDescent="0.25">
      <c r="B179" s="5" t="s">
        <v>8</v>
      </c>
      <c r="C179" s="1"/>
      <c r="D179" s="1"/>
      <c r="E179" s="1"/>
      <c r="F179" s="5">
        <v>5.34</v>
      </c>
    </row>
    <row r="180" spans="2:6" x14ac:dyDescent="0.25">
      <c r="B180" s="15" t="s">
        <v>30</v>
      </c>
      <c r="C180" s="1"/>
      <c r="D180" s="1"/>
      <c r="E180" s="1"/>
      <c r="F180" s="5">
        <v>0.06</v>
      </c>
    </row>
    <row r="181" spans="2:6" ht="24.75" x14ac:dyDescent="0.25">
      <c r="B181" s="5" t="s">
        <v>11</v>
      </c>
      <c r="C181" s="1"/>
      <c r="D181" s="1"/>
      <c r="E181" s="1"/>
      <c r="F181" s="5">
        <v>0.55000000000000004</v>
      </c>
    </row>
    <row r="182" spans="2:6" ht="24.75" x14ac:dyDescent="0.25">
      <c r="B182" s="5" t="s">
        <v>12</v>
      </c>
      <c r="C182" s="1"/>
      <c r="D182" s="1"/>
      <c r="E182" s="1"/>
      <c r="F182" s="5">
        <v>0.53</v>
      </c>
    </row>
    <row r="183" spans="2:6" ht="24.75" x14ac:dyDescent="0.25">
      <c r="B183" s="5" t="s">
        <v>13</v>
      </c>
      <c r="C183" s="1"/>
      <c r="D183" s="1"/>
      <c r="E183" s="1"/>
      <c r="F183" s="5">
        <v>0.19</v>
      </c>
    </row>
    <row r="184" spans="2:6" ht="24.75" x14ac:dyDescent="0.25">
      <c r="B184" s="5" t="s">
        <v>14</v>
      </c>
      <c r="C184" s="1"/>
      <c r="D184" s="1"/>
      <c r="E184" s="1"/>
      <c r="F184" s="5">
        <v>1.25</v>
      </c>
    </row>
    <row r="185" spans="2:6" ht="24.75" x14ac:dyDescent="0.25">
      <c r="B185" s="5" t="s">
        <v>9</v>
      </c>
      <c r="C185" s="1"/>
      <c r="D185" s="1"/>
      <c r="E185" s="1"/>
      <c r="F185" s="5">
        <v>0.26</v>
      </c>
    </row>
    <row r="186" spans="2:6" ht="24.75" x14ac:dyDescent="0.25">
      <c r="B186" s="5" t="s">
        <v>15</v>
      </c>
      <c r="C186" s="1"/>
      <c r="D186" s="1"/>
      <c r="E186" s="1"/>
      <c r="F186" s="5">
        <v>0.27</v>
      </c>
    </row>
    <row r="187" spans="2:6" ht="24.75" x14ac:dyDescent="0.25">
      <c r="B187" s="5" t="s">
        <v>16</v>
      </c>
      <c r="C187" s="1"/>
      <c r="D187" s="1"/>
      <c r="E187" s="1"/>
      <c r="F187" s="5">
        <v>0.28999999999999998</v>
      </c>
    </row>
    <row r="188" spans="2:6" x14ac:dyDescent="0.25">
      <c r="B188" s="5" t="s">
        <v>17</v>
      </c>
      <c r="C188" s="1"/>
      <c r="D188" s="1"/>
      <c r="E188" s="1"/>
      <c r="F188" s="5">
        <v>0.32</v>
      </c>
    </row>
    <row r="189" spans="2:6" x14ac:dyDescent="0.25">
      <c r="B189" s="5" t="s">
        <v>18</v>
      </c>
      <c r="C189" s="1"/>
      <c r="D189" s="1"/>
      <c r="E189" s="1"/>
      <c r="F189" s="5">
        <v>1.97</v>
      </c>
    </row>
    <row r="190" spans="2:6" x14ac:dyDescent="0.25">
      <c r="B190" s="5" t="s">
        <v>19</v>
      </c>
      <c r="C190" s="1"/>
      <c r="D190" s="1"/>
      <c r="E190" s="1"/>
      <c r="F190" s="5">
        <v>3.95</v>
      </c>
    </row>
    <row r="191" spans="2:6" x14ac:dyDescent="0.25">
      <c r="B191" s="10" t="s">
        <v>20</v>
      </c>
      <c r="C191" s="1"/>
      <c r="D191" s="1"/>
      <c r="E191" s="1"/>
      <c r="F191" s="4">
        <f>SUM(F178:F190)</f>
        <v>16.989999999999998</v>
      </c>
    </row>
    <row r="192" spans="2:6" x14ac:dyDescent="0.25">
      <c r="B192" s="3" t="s">
        <v>21</v>
      </c>
      <c r="C192" s="1"/>
      <c r="D192" s="1"/>
      <c r="E192" s="1"/>
      <c r="F192" s="1"/>
    </row>
    <row r="193" spans="2:6" x14ac:dyDescent="0.25">
      <c r="B193" s="1" t="s">
        <v>326</v>
      </c>
      <c r="C193" s="1" t="s">
        <v>26</v>
      </c>
      <c r="D193" s="1">
        <v>30</v>
      </c>
      <c r="E193" s="1">
        <v>45</v>
      </c>
      <c r="F193" s="24">
        <f>E193/2071.3*1000/12</f>
        <v>1.8104572007917732</v>
      </c>
    </row>
    <row r="194" spans="2:6" x14ac:dyDescent="0.25">
      <c r="B194" s="1" t="s">
        <v>327</v>
      </c>
      <c r="C194" s="1" t="s">
        <v>261</v>
      </c>
      <c r="D194" s="1">
        <v>145</v>
      </c>
      <c r="E194" s="1">
        <v>145</v>
      </c>
      <c r="F194" s="24">
        <f t="shared" ref="F194:F205" si="4">E194/2071.3*1000/12</f>
        <v>5.8336954247734916</v>
      </c>
    </row>
    <row r="195" spans="2:6" x14ac:dyDescent="0.25">
      <c r="B195" s="1" t="s">
        <v>275</v>
      </c>
      <c r="C195" s="1" t="s">
        <v>26</v>
      </c>
      <c r="D195" s="1">
        <v>106</v>
      </c>
      <c r="E195" s="1">
        <v>159</v>
      </c>
      <c r="F195" s="24">
        <f t="shared" si="4"/>
        <v>6.3969487761309329</v>
      </c>
    </row>
    <row r="196" spans="2:6" x14ac:dyDescent="0.25">
      <c r="B196" s="1" t="s">
        <v>390</v>
      </c>
      <c r="C196" s="1" t="s">
        <v>261</v>
      </c>
      <c r="D196" s="1">
        <v>68</v>
      </c>
      <c r="E196" s="1">
        <v>88.4</v>
      </c>
      <c r="F196" s="24">
        <f t="shared" si="4"/>
        <v>3.5565425899998391</v>
      </c>
    </row>
    <row r="197" spans="2:6" x14ac:dyDescent="0.25">
      <c r="B197" s="1" t="s">
        <v>319</v>
      </c>
      <c r="C197" s="1" t="s">
        <v>261</v>
      </c>
      <c r="D197" s="1">
        <v>140</v>
      </c>
      <c r="E197" s="1">
        <v>182</v>
      </c>
      <c r="F197" s="24">
        <f t="shared" si="4"/>
        <v>7.3222935676467271</v>
      </c>
    </row>
    <row r="198" spans="2:6" x14ac:dyDescent="0.25">
      <c r="B198" s="1" t="s">
        <v>320</v>
      </c>
      <c r="C198" s="1" t="s">
        <v>261</v>
      </c>
      <c r="D198" s="1">
        <v>68</v>
      </c>
      <c r="E198" s="1">
        <v>129.19999999999999</v>
      </c>
      <c r="F198" s="24">
        <f t="shared" si="4"/>
        <v>5.1980237853843789</v>
      </c>
    </row>
    <row r="199" spans="2:6" x14ac:dyDescent="0.25">
      <c r="B199" s="1" t="s">
        <v>325</v>
      </c>
      <c r="C199" s="1" t="s">
        <v>261</v>
      </c>
      <c r="D199" s="1">
        <v>160</v>
      </c>
      <c r="E199" s="1">
        <v>304</v>
      </c>
      <c r="F199" s="24">
        <f t="shared" si="4"/>
        <v>12.230644200904424</v>
      </c>
    </row>
    <row r="200" spans="2:6" x14ac:dyDescent="0.25">
      <c r="B200" s="1" t="s">
        <v>343</v>
      </c>
      <c r="C200" s="1" t="s">
        <v>256</v>
      </c>
      <c r="D200" s="1">
        <v>3</v>
      </c>
      <c r="E200" s="1">
        <v>270</v>
      </c>
      <c r="F200" s="24">
        <f t="shared" si="4"/>
        <v>10.862743204750638</v>
      </c>
    </row>
    <row r="201" spans="2:6" x14ac:dyDescent="0.25">
      <c r="B201" s="1" t="s">
        <v>418</v>
      </c>
      <c r="C201" s="1" t="s">
        <v>265</v>
      </c>
      <c r="D201" s="1">
        <v>2</v>
      </c>
      <c r="E201" s="1">
        <v>20</v>
      </c>
      <c r="F201" s="24">
        <f t="shared" si="4"/>
        <v>0.80464764479634354</v>
      </c>
    </row>
    <row r="202" spans="2:6" x14ac:dyDescent="0.25">
      <c r="B202" s="1" t="s">
        <v>322</v>
      </c>
      <c r="C202" s="1" t="s">
        <v>261</v>
      </c>
      <c r="D202" s="1">
        <v>250</v>
      </c>
      <c r="E202" s="1">
        <v>300</v>
      </c>
      <c r="F202" s="24">
        <f t="shared" si="4"/>
        <v>12.069714671945155</v>
      </c>
    </row>
    <row r="203" spans="2:6" x14ac:dyDescent="0.25">
      <c r="B203" s="1" t="s">
        <v>323</v>
      </c>
      <c r="C203" s="1" t="s">
        <v>261</v>
      </c>
      <c r="D203" s="1">
        <v>950</v>
      </c>
      <c r="E203" s="1">
        <v>950</v>
      </c>
      <c r="F203" s="24">
        <f t="shared" si="4"/>
        <v>38.220763127826324</v>
      </c>
    </row>
    <row r="204" spans="2:6" x14ac:dyDescent="0.25">
      <c r="B204" s="1"/>
      <c r="C204" s="1"/>
      <c r="D204" s="1"/>
      <c r="E204" s="1"/>
      <c r="F204" s="24">
        <f t="shared" si="4"/>
        <v>0</v>
      </c>
    </row>
    <row r="205" spans="2:6" x14ac:dyDescent="0.25">
      <c r="B205" s="1"/>
      <c r="C205" s="1"/>
      <c r="D205" s="1"/>
      <c r="E205" s="1"/>
      <c r="F205" s="24">
        <f t="shared" si="4"/>
        <v>0</v>
      </c>
    </row>
    <row r="206" spans="2:6" x14ac:dyDescent="0.25">
      <c r="B206" s="10" t="s">
        <v>20</v>
      </c>
      <c r="C206" s="1"/>
      <c r="D206" s="1"/>
      <c r="E206" s="4">
        <f>SUM(E193:E205)</f>
        <v>2592.6</v>
      </c>
      <c r="F206" s="22">
        <f>SUM(F193:F205)</f>
        <v>104.30647419495003</v>
      </c>
    </row>
    <row r="207" spans="2:6" x14ac:dyDescent="0.25">
      <c r="B207" s="4" t="s">
        <v>22</v>
      </c>
      <c r="C207" s="6"/>
      <c r="D207" s="6"/>
      <c r="E207" s="6"/>
      <c r="F207" s="23">
        <f>F191+F206</f>
        <v>121.29647419495002</v>
      </c>
    </row>
    <row r="208" spans="2:6" x14ac:dyDescent="0.25">
      <c r="B208" s="7"/>
      <c r="C208" s="7"/>
      <c r="D208" s="7"/>
      <c r="E208" s="7"/>
      <c r="F208" s="7"/>
    </row>
    <row r="209" spans="2:6" x14ac:dyDescent="0.25">
      <c r="B209" s="13"/>
      <c r="C209" s="13"/>
      <c r="D209" s="13"/>
      <c r="E209" s="13"/>
      <c r="F209" s="13"/>
    </row>
    <row r="210" spans="2:6" x14ac:dyDescent="0.25">
      <c r="B210" s="13"/>
      <c r="C210" s="13"/>
      <c r="D210" s="13"/>
      <c r="E210" s="13"/>
      <c r="F210" s="13"/>
    </row>
    <row r="211" spans="2:6" x14ac:dyDescent="0.25">
      <c r="B211" s="39" t="s">
        <v>23</v>
      </c>
      <c r="C211" s="38"/>
      <c r="D211" s="38"/>
      <c r="E211" s="39" t="s">
        <v>24</v>
      </c>
      <c r="F211" s="38"/>
    </row>
    <row r="213" spans="2:6" ht="39.6" customHeight="1" x14ac:dyDescent="0.25">
      <c r="B213" s="37" t="s">
        <v>109</v>
      </c>
      <c r="C213" s="37"/>
      <c r="D213" s="37"/>
      <c r="E213" s="37"/>
      <c r="F213" s="37"/>
    </row>
    <row r="214" spans="2:6" ht="29.45" customHeight="1" x14ac:dyDescent="0.25">
      <c r="B214" s="37" t="s">
        <v>1</v>
      </c>
      <c r="C214" s="37"/>
      <c r="D214" s="37"/>
      <c r="E214" s="37"/>
      <c r="F214" s="37"/>
    </row>
    <row r="215" spans="2:6" x14ac:dyDescent="0.25">
      <c r="B215" s="14" t="s">
        <v>0</v>
      </c>
      <c r="C215" s="14"/>
      <c r="D215" s="14"/>
      <c r="E215" s="14"/>
      <c r="F215" s="14"/>
    </row>
    <row r="216" spans="2:6" x14ac:dyDescent="0.25">
      <c r="B216" s="12"/>
      <c r="C216" s="38" t="s">
        <v>25</v>
      </c>
      <c r="D216" s="38"/>
      <c r="E216" s="12">
        <v>1950.8</v>
      </c>
      <c r="F216" s="12" t="s">
        <v>26</v>
      </c>
    </row>
    <row r="218" spans="2:6" ht="60" x14ac:dyDescent="0.25">
      <c r="B218" s="1" t="s">
        <v>2</v>
      </c>
      <c r="C218" s="1" t="s">
        <v>4</v>
      </c>
      <c r="D218" s="1" t="s">
        <v>3</v>
      </c>
      <c r="E218" s="1" t="s">
        <v>447</v>
      </c>
      <c r="F218" s="1" t="s">
        <v>5</v>
      </c>
    </row>
    <row r="219" spans="2:6" x14ac:dyDescent="0.25">
      <c r="B219" s="1"/>
      <c r="C219" s="1"/>
      <c r="D219" s="1"/>
      <c r="E219" s="1"/>
      <c r="F219" s="1"/>
    </row>
    <row r="220" spans="2:6" x14ac:dyDescent="0.25">
      <c r="B220" s="3" t="s">
        <v>6</v>
      </c>
      <c r="C220" s="1"/>
      <c r="D220" s="1"/>
      <c r="E220" s="1"/>
      <c r="F220" s="1"/>
    </row>
    <row r="221" spans="2:6" x14ac:dyDescent="0.25">
      <c r="B221" s="5" t="s">
        <v>7</v>
      </c>
      <c r="C221" s="1"/>
      <c r="D221" s="1"/>
      <c r="E221" s="1"/>
      <c r="F221" s="5">
        <v>2.0099999999999998</v>
      </c>
    </row>
    <row r="222" spans="2:6" x14ac:dyDescent="0.25">
      <c r="B222" s="5" t="s">
        <v>8</v>
      </c>
      <c r="C222" s="1"/>
      <c r="D222" s="1"/>
      <c r="E222" s="1"/>
      <c r="F222" s="5">
        <v>5.34</v>
      </c>
    </row>
    <row r="223" spans="2:6" x14ac:dyDescent="0.25">
      <c r="B223" s="15" t="s">
        <v>30</v>
      </c>
      <c r="C223" s="1"/>
      <c r="D223" s="1"/>
      <c r="E223" s="1"/>
      <c r="F223" s="5">
        <v>0.06</v>
      </c>
    </row>
    <row r="224" spans="2:6" ht="24.75" x14ac:dyDescent="0.25">
      <c r="B224" s="5" t="s">
        <v>11</v>
      </c>
      <c r="C224" s="1"/>
      <c r="D224" s="1"/>
      <c r="E224" s="1"/>
      <c r="F224" s="5">
        <v>0.55000000000000004</v>
      </c>
    </row>
    <row r="225" spans="2:6" ht="24.75" x14ac:dyDescent="0.25">
      <c r="B225" s="5" t="s">
        <v>12</v>
      </c>
      <c r="C225" s="1"/>
      <c r="D225" s="1"/>
      <c r="E225" s="1"/>
      <c r="F225" s="5">
        <v>0.53</v>
      </c>
    </row>
    <row r="226" spans="2:6" ht="24.75" x14ac:dyDescent="0.25">
      <c r="B226" s="5" t="s">
        <v>13</v>
      </c>
      <c r="C226" s="1"/>
      <c r="D226" s="1"/>
      <c r="E226" s="1"/>
      <c r="F226" s="5">
        <v>0.19</v>
      </c>
    </row>
    <row r="227" spans="2:6" ht="24.75" x14ac:dyDescent="0.25">
      <c r="B227" s="5" t="s">
        <v>14</v>
      </c>
      <c r="C227" s="1"/>
      <c r="D227" s="1"/>
      <c r="E227" s="1"/>
      <c r="F227" s="5">
        <v>1.25</v>
      </c>
    </row>
    <row r="228" spans="2:6" ht="24.75" x14ac:dyDescent="0.25">
      <c r="B228" s="5" t="s">
        <v>9</v>
      </c>
      <c r="C228" s="1"/>
      <c r="D228" s="1"/>
      <c r="E228" s="1"/>
      <c r="F228" s="5">
        <v>0.26</v>
      </c>
    </row>
    <row r="229" spans="2:6" ht="24.75" x14ac:dyDescent="0.25">
      <c r="B229" s="5" t="s">
        <v>15</v>
      </c>
      <c r="C229" s="1"/>
      <c r="D229" s="1"/>
      <c r="E229" s="1"/>
      <c r="F229" s="5">
        <v>0.27</v>
      </c>
    </row>
    <row r="230" spans="2:6" ht="24.75" x14ac:dyDescent="0.25">
      <c r="B230" s="5" t="s">
        <v>16</v>
      </c>
      <c r="C230" s="1"/>
      <c r="D230" s="1"/>
      <c r="E230" s="1"/>
      <c r="F230" s="5">
        <v>0.28999999999999998</v>
      </c>
    </row>
    <row r="231" spans="2:6" x14ac:dyDescent="0.25">
      <c r="B231" s="5" t="s">
        <v>17</v>
      </c>
      <c r="C231" s="1"/>
      <c r="D231" s="1"/>
      <c r="E231" s="1"/>
      <c r="F231" s="5">
        <v>0.32</v>
      </c>
    </row>
    <row r="232" spans="2:6" x14ac:dyDescent="0.25">
      <c r="B232" s="5" t="s">
        <v>18</v>
      </c>
      <c r="C232" s="1"/>
      <c r="D232" s="1"/>
      <c r="E232" s="1"/>
      <c r="F232" s="5">
        <v>1.97</v>
      </c>
    </row>
    <row r="233" spans="2:6" x14ac:dyDescent="0.25">
      <c r="B233" s="5" t="s">
        <v>19</v>
      </c>
      <c r="C233" s="1"/>
      <c r="D233" s="1"/>
      <c r="E233" s="1"/>
      <c r="F233" s="5">
        <v>3.95</v>
      </c>
    </row>
    <row r="234" spans="2:6" x14ac:dyDescent="0.25">
      <c r="B234" s="10" t="s">
        <v>20</v>
      </c>
      <c r="C234" s="1"/>
      <c r="D234" s="1"/>
      <c r="E234" s="1"/>
      <c r="F234" s="4">
        <f>SUM(F221:F233)</f>
        <v>16.989999999999998</v>
      </c>
    </row>
    <row r="235" spans="2:6" x14ac:dyDescent="0.25">
      <c r="B235" s="3" t="s">
        <v>21</v>
      </c>
      <c r="C235" s="1"/>
      <c r="D235" s="1"/>
      <c r="E235" s="1"/>
      <c r="F235" s="1"/>
    </row>
    <row r="236" spans="2:6" x14ac:dyDescent="0.25">
      <c r="B236" s="1" t="s">
        <v>373</v>
      </c>
      <c r="C236" s="1" t="s">
        <v>368</v>
      </c>
      <c r="D236" s="1">
        <v>0.4</v>
      </c>
      <c r="E236" s="1">
        <v>20</v>
      </c>
      <c r="F236" s="24">
        <f>E236/1950.8*1000/12</f>
        <v>0.8543503519923451</v>
      </c>
    </row>
    <row r="237" spans="2:6" x14ac:dyDescent="0.25">
      <c r="B237" s="1" t="s">
        <v>326</v>
      </c>
      <c r="C237" s="1" t="s">
        <v>26</v>
      </c>
      <c r="D237" s="1">
        <v>33</v>
      </c>
      <c r="E237" s="1">
        <v>49.5</v>
      </c>
      <c r="F237" s="24">
        <f t="shared" ref="F237:F248" si="5">E237/1950.8*1000/12</f>
        <v>2.1145171211810538</v>
      </c>
    </row>
    <row r="238" spans="2:6" x14ac:dyDescent="0.25">
      <c r="B238" s="1" t="s">
        <v>327</v>
      </c>
      <c r="C238" s="1" t="s">
        <v>261</v>
      </c>
      <c r="D238" s="1">
        <v>192</v>
      </c>
      <c r="E238" s="1">
        <v>192</v>
      </c>
      <c r="F238" s="24">
        <f t="shared" si="5"/>
        <v>8.201763379126513</v>
      </c>
    </row>
    <row r="239" spans="2:6" x14ac:dyDescent="0.25">
      <c r="B239" s="1" t="s">
        <v>402</v>
      </c>
      <c r="C239" s="1" t="s">
        <v>265</v>
      </c>
      <c r="D239" s="1">
        <v>3</v>
      </c>
      <c r="E239" s="1">
        <v>30</v>
      </c>
      <c r="F239" s="24">
        <f t="shared" si="5"/>
        <v>1.2815255279885176</v>
      </c>
    </row>
    <row r="240" spans="2:6" x14ac:dyDescent="0.25">
      <c r="B240" s="1" t="s">
        <v>272</v>
      </c>
      <c r="C240" s="1" t="s">
        <v>265</v>
      </c>
      <c r="D240" s="1">
        <v>1</v>
      </c>
      <c r="E240" s="1">
        <v>10</v>
      </c>
      <c r="F240" s="24">
        <f t="shared" si="5"/>
        <v>0.42717517599617255</v>
      </c>
    </row>
    <row r="241" spans="2:6" x14ac:dyDescent="0.25">
      <c r="B241" s="1" t="s">
        <v>329</v>
      </c>
      <c r="C241" s="1" t="s">
        <v>26</v>
      </c>
      <c r="D241" s="1">
        <v>30</v>
      </c>
      <c r="E241" s="1">
        <v>36</v>
      </c>
      <c r="F241" s="24">
        <f t="shared" si="5"/>
        <v>1.5378306335862211</v>
      </c>
    </row>
    <row r="242" spans="2:6" x14ac:dyDescent="0.25">
      <c r="B242" s="1" t="s">
        <v>319</v>
      </c>
      <c r="C242" s="1" t="s">
        <v>261</v>
      </c>
      <c r="D242" s="1">
        <v>90</v>
      </c>
      <c r="E242" s="1">
        <v>117</v>
      </c>
      <c r="F242" s="24">
        <f t="shared" si="5"/>
        <v>4.9979495591552183</v>
      </c>
    </row>
    <row r="243" spans="2:6" x14ac:dyDescent="0.25">
      <c r="B243" s="1" t="s">
        <v>320</v>
      </c>
      <c r="C243" s="1" t="s">
        <v>261</v>
      </c>
      <c r="D243" s="1">
        <v>68</v>
      </c>
      <c r="E243" s="1">
        <v>129.19999999999999</v>
      </c>
      <c r="F243" s="24">
        <f t="shared" si="5"/>
        <v>5.5191032738705488</v>
      </c>
    </row>
    <row r="244" spans="2:6" x14ac:dyDescent="0.25">
      <c r="B244" s="1" t="s">
        <v>325</v>
      </c>
      <c r="C244" s="1" t="s">
        <v>261</v>
      </c>
      <c r="D244" s="1">
        <v>140</v>
      </c>
      <c r="E244" s="1">
        <v>266</v>
      </c>
      <c r="F244" s="24">
        <f t="shared" si="5"/>
        <v>11.362859681498188</v>
      </c>
    </row>
    <row r="245" spans="2:6" x14ac:dyDescent="0.25">
      <c r="B245" s="1" t="s">
        <v>343</v>
      </c>
      <c r="C245" s="1" t="s">
        <v>256</v>
      </c>
      <c r="D245" s="1">
        <v>3</v>
      </c>
      <c r="E245" s="1">
        <v>350</v>
      </c>
      <c r="F245" s="24">
        <f t="shared" si="5"/>
        <v>14.951131159866039</v>
      </c>
    </row>
    <row r="246" spans="2:6" x14ac:dyDescent="0.25">
      <c r="B246" s="1" t="s">
        <v>419</v>
      </c>
      <c r="C246" s="1" t="s">
        <v>265</v>
      </c>
      <c r="D246" s="1">
        <v>6</v>
      </c>
      <c r="E246" s="1">
        <v>60</v>
      </c>
      <c r="F246" s="24">
        <f t="shared" si="5"/>
        <v>2.5630510559770352</v>
      </c>
    </row>
    <row r="247" spans="2:6" x14ac:dyDescent="0.25">
      <c r="B247" s="1" t="s">
        <v>322</v>
      </c>
      <c r="C247" s="1" t="s">
        <v>261</v>
      </c>
      <c r="D247" s="1">
        <v>250</v>
      </c>
      <c r="E247" s="1">
        <v>300</v>
      </c>
      <c r="F247" s="24">
        <f t="shared" si="5"/>
        <v>12.815255279885177</v>
      </c>
    </row>
    <row r="248" spans="2:6" x14ac:dyDescent="0.25">
      <c r="B248" s="1" t="s">
        <v>323</v>
      </c>
      <c r="C248" s="1" t="s">
        <v>261</v>
      </c>
      <c r="D248" s="1">
        <v>950</v>
      </c>
      <c r="E248" s="1">
        <v>950</v>
      </c>
      <c r="F248" s="24">
        <f t="shared" si="5"/>
        <v>40.581641719636387</v>
      </c>
    </row>
    <row r="249" spans="2:6" x14ac:dyDescent="0.25">
      <c r="B249" s="10" t="s">
        <v>20</v>
      </c>
      <c r="C249" s="1"/>
      <c r="D249" s="1"/>
      <c r="E249" s="4">
        <f>SUM(E236:E248)</f>
        <v>2509.6999999999998</v>
      </c>
      <c r="F249" s="22">
        <f>SUM(F236:F248)</f>
        <v>107.20815391975941</v>
      </c>
    </row>
    <row r="250" spans="2:6" x14ac:dyDescent="0.25">
      <c r="B250" s="4" t="s">
        <v>22</v>
      </c>
      <c r="C250" s="6"/>
      <c r="D250" s="6"/>
      <c r="E250" s="6"/>
      <c r="F250" s="23">
        <f>F234+F249</f>
        <v>124.19815391975941</v>
      </c>
    </row>
    <row r="251" spans="2:6" x14ac:dyDescent="0.25">
      <c r="B251" s="7"/>
      <c r="C251" s="7"/>
      <c r="D251" s="7"/>
      <c r="E251" s="7"/>
      <c r="F251" s="7"/>
    </row>
    <row r="252" spans="2:6" x14ac:dyDescent="0.25">
      <c r="B252" s="13"/>
      <c r="C252" s="13"/>
      <c r="D252" s="13"/>
      <c r="E252" s="13"/>
      <c r="F252" s="13"/>
    </row>
    <row r="253" spans="2:6" x14ac:dyDescent="0.25">
      <c r="B253" s="13"/>
      <c r="C253" s="13"/>
      <c r="D253" s="13"/>
      <c r="E253" s="13"/>
      <c r="F253" s="13"/>
    </row>
    <row r="254" spans="2:6" x14ac:dyDescent="0.25">
      <c r="B254" s="39" t="s">
        <v>23</v>
      </c>
      <c r="C254" s="38"/>
      <c r="D254" s="38"/>
      <c r="E254" s="39" t="s">
        <v>24</v>
      </c>
      <c r="F254" s="38"/>
    </row>
  </sheetData>
  <mergeCells count="30">
    <mergeCell ref="B87:F87"/>
    <mergeCell ref="B1:F1"/>
    <mergeCell ref="B2:F2"/>
    <mergeCell ref="C4:D4"/>
    <mergeCell ref="B42:D42"/>
    <mergeCell ref="E42:F42"/>
    <mergeCell ref="B44:F44"/>
    <mergeCell ref="B45:F45"/>
    <mergeCell ref="C47:D47"/>
    <mergeCell ref="B84:D84"/>
    <mergeCell ref="E84:F84"/>
    <mergeCell ref="B86:F86"/>
    <mergeCell ref="B211:D211"/>
    <mergeCell ref="E211:F211"/>
    <mergeCell ref="C89:D89"/>
    <mergeCell ref="B126:D126"/>
    <mergeCell ref="E126:F126"/>
    <mergeCell ref="B128:F128"/>
    <mergeCell ref="B129:F129"/>
    <mergeCell ref="C131:D131"/>
    <mergeCell ref="B168:D168"/>
    <mergeCell ref="E168:F168"/>
    <mergeCell ref="B170:F170"/>
    <mergeCell ref="B171:F171"/>
    <mergeCell ref="C173:D173"/>
    <mergeCell ref="B213:F213"/>
    <mergeCell ref="B214:F214"/>
    <mergeCell ref="C216:D216"/>
    <mergeCell ref="B254:D254"/>
    <mergeCell ref="E254:F2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26</vt:i4>
      </vt:variant>
    </vt:vector>
  </HeadingPairs>
  <TitlesOfParts>
    <vt:vector size="26" baseType="lpstr">
      <vt:lpstr>Баринова</vt:lpstr>
      <vt:lpstr>В Котика</vt:lpstr>
      <vt:lpstr>Западная</vt:lpstr>
      <vt:lpstr>Коммунистическая </vt:lpstr>
      <vt:lpstr>пер.Лихачева</vt:lpstr>
      <vt:lpstr>Лихачева</vt:lpstr>
      <vt:lpstr>максимова</vt:lpstr>
      <vt:lpstr>махалова</vt:lpstr>
      <vt:lpstr>маяковского</vt:lpstr>
      <vt:lpstr>Мира</vt:lpstr>
      <vt:lpstr>прибрежный</vt:lpstr>
      <vt:lpstr>чугунова</vt:lpstr>
      <vt:lpstr>энгельса</vt:lpstr>
      <vt:lpstr>Задолье</vt:lpstr>
      <vt:lpstr>сосновая</vt:lpstr>
      <vt:lpstr>подлужный</vt:lpstr>
      <vt:lpstr>Вокзальная</vt:lpstr>
      <vt:lpstr>новостройка</vt:lpstr>
      <vt:lpstr>октябрьская</vt:lpstr>
      <vt:lpstr>приречный</vt:lpstr>
      <vt:lpstr>садовая</vt:lpstr>
      <vt:lpstr>тер. Киселих. госпиталя</vt:lpstr>
      <vt:lpstr>1-участок Ситники</vt:lpstr>
      <vt:lpstr>п.Жел. Центральная</vt:lpstr>
      <vt:lpstr>п.Сит. Центравльная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2017-03-16T11:37:03Z</dcterms:modified>
</cp:coreProperties>
</file>